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drawings/drawing7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8.xml" ContentType="application/vnd.openxmlformats-officedocument.drawing+xml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drawings/drawing9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10.xml" ContentType="application/vnd.openxmlformats-officedocument.drawing+xml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embeddings/oleObject145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min\Desktop\"/>
    </mc:Choice>
  </mc:AlternateContent>
  <xr:revisionPtr revIDLastSave="0" documentId="13_ncr:1_{0C364028-D2A3-4C10-941E-9B20779FE621}" xr6:coauthVersionLast="47" xr6:coauthVersionMax="47" xr10:uidLastSave="{00000000-0000-0000-0000-000000000000}"/>
  <bookViews>
    <workbookView xWindow="-120" yWindow="-120" windowWidth="29040" windowHeight="15840" firstSheet="10" activeTab="10" xr2:uid="{965C2DE6-6CCF-4054-8C9C-60C9CCC69C2E}"/>
  </bookViews>
  <sheets>
    <sheet name="S1" sheetId="2" state="hidden" r:id="rId1"/>
    <sheet name="D1" sheetId="1" state="hidden" r:id="rId2"/>
    <sheet name="S2" sheetId="18" state="hidden" r:id="rId3"/>
    <sheet name="D2" sheetId="19" state="hidden" r:id="rId4"/>
    <sheet name="S3" sheetId="20" state="hidden" r:id="rId5"/>
    <sheet name="D3" sheetId="21" state="hidden" r:id="rId6"/>
    <sheet name="S4" sheetId="22" state="hidden" r:id="rId7"/>
    <sheet name="D4" sheetId="23" state="hidden" r:id="rId8"/>
    <sheet name="S5" sheetId="24" state="hidden" r:id="rId9"/>
    <sheet name="D5" sheetId="25" state="hidden" r:id="rId10"/>
    <sheet name="Invoice" sheetId="3" r:id="rId11"/>
  </sheets>
  <definedNames>
    <definedName name="_xlnm.Print_Area" localSheetId="10">Invoice!$L$1:$V$103</definedName>
    <definedName name="_xlnm.Print_Area" localSheetId="0">'S1'!$A$1:$I$41</definedName>
    <definedName name="_xlnm.Print_Area" localSheetId="2">'S2'!$A$1:$I$41</definedName>
    <definedName name="_xlnm.Print_Area" localSheetId="4">'S3'!$A$1:$I$41</definedName>
    <definedName name="_xlnm.Print_Area" localSheetId="6">'S4'!$A$1:$I$41</definedName>
    <definedName name="_xlnm.Print_Area" localSheetId="8">'S5'!$A$1:$I$41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18" i="25" l="1"/>
  <c r="J18" i="23"/>
  <c r="J18" i="21"/>
  <c r="J18" i="19"/>
  <c r="J18" i="1"/>
  <c r="D7" i="24"/>
  <c r="D6" i="24"/>
  <c r="D5" i="24"/>
  <c r="D4" i="24"/>
  <c r="D44" i="25" s="1"/>
  <c r="G44" i="25" s="1"/>
  <c r="D3" i="24"/>
  <c r="C82" i="25" s="1"/>
  <c r="D7" i="22"/>
  <c r="D6" i="22"/>
  <c r="D5" i="22"/>
  <c r="D4" i="22"/>
  <c r="D44" i="23" s="1"/>
  <c r="G44" i="23" s="1"/>
  <c r="D3" i="22"/>
  <c r="D86" i="23" s="1"/>
  <c r="D7" i="20"/>
  <c r="D6" i="20"/>
  <c r="D5" i="20"/>
  <c r="D4" i="20"/>
  <c r="F10" i="20" s="1"/>
  <c r="D3" i="20"/>
  <c r="D86" i="21" s="1"/>
  <c r="D7" i="18"/>
  <c r="D6" i="18"/>
  <c r="D4" i="18"/>
  <c r="D29" i="19" s="1"/>
  <c r="D3" i="18"/>
  <c r="C82" i="19" s="1"/>
  <c r="D84" i="19" s="1"/>
  <c r="G84" i="19" s="1"/>
  <c r="D5" i="18"/>
  <c r="G101" i="25"/>
  <c r="G90" i="25"/>
  <c r="D89" i="25"/>
  <c r="G89" i="25" s="1"/>
  <c r="D88" i="25"/>
  <c r="G88" i="25" s="1"/>
  <c r="G87" i="25"/>
  <c r="G61" i="25"/>
  <c r="G59" i="25"/>
  <c r="G35" i="25"/>
  <c r="G34" i="25"/>
  <c r="G33" i="25"/>
  <c r="G32" i="25"/>
  <c r="G31" i="25"/>
  <c r="G30" i="25"/>
  <c r="G28" i="25"/>
  <c r="G27" i="25"/>
  <c r="G26" i="25"/>
  <c r="D12" i="24"/>
  <c r="F91" i="25" s="1"/>
  <c r="D11" i="24"/>
  <c r="F97" i="25" s="1"/>
  <c r="D10" i="24"/>
  <c r="K6" i="25" s="1"/>
  <c r="D9" i="24"/>
  <c r="D8" i="24"/>
  <c r="C25" i="25" s="1"/>
  <c r="G101" i="23"/>
  <c r="G90" i="23"/>
  <c r="D89" i="23"/>
  <c r="G89" i="23" s="1"/>
  <c r="D88" i="23"/>
  <c r="G88" i="23" s="1"/>
  <c r="G87" i="23"/>
  <c r="G61" i="23"/>
  <c r="G59" i="23"/>
  <c r="G35" i="23"/>
  <c r="G34" i="23"/>
  <c r="G33" i="23"/>
  <c r="G32" i="23"/>
  <c r="G31" i="23"/>
  <c r="G30" i="23"/>
  <c r="G28" i="23"/>
  <c r="G27" i="23"/>
  <c r="G26" i="23"/>
  <c r="D12" i="22"/>
  <c r="F65" i="23" s="1"/>
  <c r="D11" i="22"/>
  <c r="F83" i="23" s="1"/>
  <c r="D10" i="22"/>
  <c r="K7" i="23" s="1"/>
  <c r="D9" i="22"/>
  <c r="D8" i="22"/>
  <c r="C25" i="23" s="1"/>
  <c r="G101" i="21"/>
  <c r="G90" i="21"/>
  <c r="D89" i="21"/>
  <c r="G89" i="21" s="1"/>
  <c r="D88" i="21"/>
  <c r="G88" i="21" s="1"/>
  <c r="G87" i="21"/>
  <c r="G61" i="21"/>
  <c r="G59" i="21"/>
  <c r="G35" i="21"/>
  <c r="G34" i="21"/>
  <c r="G33" i="21"/>
  <c r="G32" i="21"/>
  <c r="G31" i="21"/>
  <c r="G30" i="21"/>
  <c r="G28" i="21"/>
  <c r="G27" i="21"/>
  <c r="G26" i="21"/>
  <c r="D12" i="20"/>
  <c r="F105" i="21" s="1"/>
  <c r="D11" i="20"/>
  <c r="F86" i="21" s="1"/>
  <c r="D10" i="20"/>
  <c r="K7" i="21" s="1"/>
  <c r="D9" i="20"/>
  <c r="D8" i="20"/>
  <c r="C25" i="21" s="1"/>
  <c r="G101" i="19"/>
  <c r="G90" i="19"/>
  <c r="D89" i="19"/>
  <c r="G89" i="19" s="1"/>
  <c r="D88" i="19"/>
  <c r="G88" i="19" s="1"/>
  <c r="G87" i="19"/>
  <c r="G61" i="19"/>
  <c r="G59" i="19"/>
  <c r="G35" i="19"/>
  <c r="G34" i="19"/>
  <c r="G33" i="19"/>
  <c r="G32" i="19"/>
  <c r="G31" i="19"/>
  <c r="G30" i="19"/>
  <c r="G28" i="19"/>
  <c r="G27" i="19"/>
  <c r="G26" i="19"/>
  <c r="D12" i="18"/>
  <c r="F105" i="19" s="1"/>
  <c r="D11" i="18"/>
  <c r="F83" i="19" s="1"/>
  <c r="D10" i="18"/>
  <c r="K7" i="19" s="1"/>
  <c r="D9" i="18"/>
  <c r="D8" i="18"/>
  <c r="C25" i="19" s="1"/>
  <c r="S33" i="3"/>
  <c r="R33" i="3"/>
  <c r="M32" i="3"/>
  <c r="M33" i="3"/>
  <c r="M34" i="3"/>
  <c r="O27" i="3"/>
  <c r="O25" i="3"/>
  <c r="O23" i="3"/>
  <c r="O21" i="3"/>
  <c r="O15" i="3"/>
  <c r="F83" i="25" l="1"/>
  <c r="F29" i="23"/>
  <c r="F48" i="23"/>
  <c r="F65" i="25"/>
  <c r="D86" i="19"/>
  <c r="F100" i="25"/>
  <c r="F48" i="19"/>
  <c r="F83" i="21"/>
  <c r="F65" i="19"/>
  <c r="F91" i="21"/>
  <c r="F36" i="23"/>
  <c r="G36" i="23" s="1"/>
  <c r="F77" i="25"/>
  <c r="K5" i="19"/>
  <c r="F86" i="19"/>
  <c r="F77" i="23"/>
  <c r="F98" i="25"/>
  <c r="F91" i="19"/>
  <c r="F99" i="25"/>
  <c r="F29" i="19"/>
  <c r="G29" i="19" s="1"/>
  <c r="F97" i="19"/>
  <c r="F86" i="23"/>
  <c r="G86" i="23" s="1"/>
  <c r="F36" i="19"/>
  <c r="G36" i="19" s="1"/>
  <c r="F98" i="19"/>
  <c r="K6" i="21"/>
  <c r="F91" i="23"/>
  <c r="K7" i="25"/>
  <c r="F105" i="25"/>
  <c r="F41" i="19"/>
  <c r="F29" i="21"/>
  <c r="F105" i="23"/>
  <c r="F48" i="25"/>
  <c r="E3" i="18"/>
  <c r="B13" i="3" s="1"/>
  <c r="F97" i="21"/>
  <c r="D86" i="25"/>
  <c r="K6" i="19"/>
  <c r="F77" i="19"/>
  <c r="F99" i="19"/>
  <c r="F41" i="21"/>
  <c r="F98" i="21"/>
  <c r="F41" i="23"/>
  <c r="F97" i="23"/>
  <c r="F29" i="25"/>
  <c r="F86" i="25"/>
  <c r="F100" i="19"/>
  <c r="F48" i="21"/>
  <c r="F99" i="21"/>
  <c r="F98" i="23"/>
  <c r="F36" i="25"/>
  <c r="G36" i="25" s="1"/>
  <c r="K8" i="19"/>
  <c r="F65" i="21"/>
  <c r="F100" i="21"/>
  <c r="F99" i="23"/>
  <c r="F41" i="25"/>
  <c r="F25" i="19"/>
  <c r="G25" i="19" s="1"/>
  <c r="F36" i="21"/>
  <c r="G36" i="21" s="1"/>
  <c r="F25" i="21"/>
  <c r="G25" i="21" s="1"/>
  <c r="D11" i="21" s="1"/>
  <c r="K5" i="21"/>
  <c r="F77" i="21"/>
  <c r="K5" i="23"/>
  <c r="F25" i="23" s="1"/>
  <c r="G25" i="23" s="1"/>
  <c r="D11" i="23" s="1"/>
  <c r="F100" i="23"/>
  <c r="K6" i="23"/>
  <c r="K5" i="25"/>
  <c r="K8" i="25"/>
  <c r="D29" i="25"/>
  <c r="D98" i="25"/>
  <c r="F10" i="24"/>
  <c r="F7" i="24"/>
  <c r="D100" i="25"/>
  <c r="D83" i="25"/>
  <c r="D84" i="25"/>
  <c r="G84" i="25" s="1"/>
  <c r="D29" i="23"/>
  <c r="E3" i="22"/>
  <c r="B15" i="3" s="1"/>
  <c r="D100" i="23"/>
  <c r="F10" i="22"/>
  <c r="K8" i="23"/>
  <c r="C82" i="23"/>
  <c r="D83" i="23" s="1"/>
  <c r="D91" i="23" s="1"/>
  <c r="F7" i="22"/>
  <c r="D98" i="23"/>
  <c r="D99" i="23" s="1"/>
  <c r="I99" i="23" s="1"/>
  <c r="C70" i="21"/>
  <c r="D74" i="21" s="1"/>
  <c r="G74" i="21" s="1"/>
  <c r="C53" i="21"/>
  <c r="D65" i="21" s="1"/>
  <c r="C40" i="21"/>
  <c r="D46" i="21" s="1"/>
  <c r="G46" i="21" s="1"/>
  <c r="K8" i="21"/>
  <c r="D44" i="21"/>
  <c r="G44" i="21" s="1"/>
  <c r="D29" i="21"/>
  <c r="F7" i="20"/>
  <c r="D100" i="21"/>
  <c r="D98" i="21"/>
  <c r="D99" i="21" s="1"/>
  <c r="I99" i="21" s="1"/>
  <c r="C82" i="21"/>
  <c r="G86" i="21"/>
  <c r="D98" i="19"/>
  <c r="I98" i="19" s="1"/>
  <c r="F10" i="18"/>
  <c r="D83" i="19"/>
  <c r="D91" i="19" s="1"/>
  <c r="D100" i="19"/>
  <c r="I100" i="19" s="1"/>
  <c r="F7" i="18"/>
  <c r="D44" i="19"/>
  <c r="G44" i="19" s="1"/>
  <c r="E3" i="24"/>
  <c r="B16" i="3" s="1"/>
  <c r="E3" i="20"/>
  <c r="B14" i="3" s="1"/>
  <c r="F25" i="25" l="1"/>
  <c r="G25" i="25" s="1"/>
  <c r="D11" i="25" s="1"/>
  <c r="D7" i="25" s="1"/>
  <c r="G86" i="19"/>
  <c r="G65" i="21"/>
  <c r="G86" i="25"/>
  <c r="D3" i="25"/>
  <c r="D37" i="19"/>
  <c r="G29" i="21"/>
  <c r="D37" i="21" s="1"/>
  <c r="D91" i="25"/>
  <c r="G91" i="25" s="1"/>
  <c r="D76" i="21"/>
  <c r="G76" i="21" s="1"/>
  <c r="D64" i="21"/>
  <c r="G64" i="21" s="1"/>
  <c r="G91" i="23"/>
  <c r="G91" i="19"/>
  <c r="G29" i="23"/>
  <c r="D45" i="21"/>
  <c r="G45" i="21" s="1"/>
  <c r="D11" i="19"/>
  <c r="D3" i="21"/>
  <c r="D3" i="19"/>
  <c r="D3" i="23"/>
  <c r="D99" i="19"/>
  <c r="I99" i="19" s="1"/>
  <c r="D71" i="21"/>
  <c r="G71" i="21" s="1"/>
  <c r="G98" i="19"/>
  <c r="D72" i="21"/>
  <c r="D75" i="21" s="1"/>
  <c r="G75" i="21" s="1"/>
  <c r="G98" i="21"/>
  <c r="G29" i="25"/>
  <c r="D37" i="25" s="1"/>
  <c r="D37" i="23"/>
  <c r="G100" i="19"/>
  <c r="D56" i="21"/>
  <c r="G56" i="21" s="1"/>
  <c r="I100" i="25"/>
  <c r="G100" i="25"/>
  <c r="D99" i="25"/>
  <c r="G98" i="25"/>
  <c r="I98" i="25"/>
  <c r="C40" i="25"/>
  <c r="C53" i="25"/>
  <c r="C70" i="25"/>
  <c r="G99" i="23"/>
  <c r="I98" i="23"/>
  <c r="C40" i="23"/>
  <c r="C70" i="23"/>
  <c r="C53" i="23"/>
  <c r="G98" i="23"/>
  <c r="I100" i="23"/>
  <c r="G100" i="23"/>
  <c r="D84" i="23"/>
  <c r="G84" i="23" s="1"/>
  <c r="G83" i="23"/>
  <c r="D47" i="21"/>
  <c r="G47" i="21" s="1"/>
  <c r="D60" i="21"/>
  <c r="G60" i="21" s="1"/>
  <c r="D55" i="21"/>
  <c r="G55" i="21" s="1"/>
  <c r="G100" i="21"/>
  <c r="I100" i="21"/>
  <c r="C96" i="21"/>
  <c r="D104" i="21" s="1"/>
  <c r="G104" i="21" s="1"/>
  <c r="D57" i="21"/>
  <c r="G57" i="21" s="1"/>
  <c r="G99" i="21"/>
  <c r="D77" i="21"/>
  <c r="G77" i="21" s="1"/>
  <c r="D54" i="21"/>
  <c r="D41" i="21"/>
  <c r="D42" i="21" s="1"/>
  <c r="G42" i="21" s="1"/>
  <c r="D73" i="21"/>
  <c r="G73" i="21" s="1"/>
  <c r="D63" i="21"/>
  <c r="G63" i="21" s="1"/>
  <c r="I98" i="21"/>
  <c r="D83" i="21"/>
  <c r="D91" i="21" s="1"/>
  <c r="G91" i="21" s="1"/>
  <c r="D84" i="21"/>
  <c r="G84" i="21" s="1"/>
  <c r="C53" i="19"/>
  <c r="C70" i="19"/>
  <c r="C40" i="19"/>
  <c r="G83" i="19"/>
  <c r="G83" i="25"/>
  <c r="D7" i="23"/>
  <c r="D7" i="21"/>
  <c r="D7" i="19"/>
  <c r="G72" i="21" l="1"/>
  <c r="D78" i="21" s="1"/>
  <c r="G41" i="21"/>
  <c r="G99" i="19"/>
  <c r="D102" i="21"/>
  <c r="G102" i="21" s="1"/>
  <c r="D74" i="25"/>
  <c r="G74" i="25" s="1"/>
  <c r="D72" i="25"/>
  <c r="D76" i="25"/>
  <c r="G76" i="25" s="1"/>
  <c r="D71" i="25"/>
  <c r="G71" i="25" s="1"/>
  <c r="D77" i="25"/>
  <c r="G77" i="25" s="1"/>
  <c r="D73" i="25"/>
  <c r="G73" i="25" s="1"/>
  <c r="D55" i="25"/>
  <c r="G55" i="25" s="1"/>
  <c r="D63" i="25"/>
  <c r="G63" i="25" s="1"/>
  <c r="D57" i="25"/>
  <c r="G57" i="25" s="1"/>
  <c r="D64" i="25"/>
  <c r="G64" i="25" s="1"/>
  <c r="D60" i="25"/>
  <c r="G60" i="25" s="1"/>
  <c r="D65" i="25"/>
  <c r="G65" i="25" s="1"/>
  <c r="D54" i="25"/>
  <c r="D56" i="25"/>
  <c r="G56" i="25" s="1"/>
  <c r="C96" i="25"/>
  <c r="D46" i="25"/>
  <c r="D41" i="25"/>
  <c r="D45" i="25"/>
  <c r="G45" i="25" s="1"/>
  <c r="G99" i="25"/>
  <c r="I99" i="25"/>
  <c r="D46" i="23"/>
  <c r="D45" i="23"/>
  <c r="G45" i="23" s="1"/>
  <c r="D41" i="23"/>
  <c r="C96" i="23"/>
  <c r="D63" i="23"/>
  <c r="G63" i="23" s="1"/>
  <c r="D60" i="23"/>
  <c r="G60" i="23" s="1"/>
  <c r="D54" i="23"/>
  <c r="D64" i="23"/>
  <c r="G64" i="23" s="1"/>
  <c r="D65" i="23"/>
  <c r="G65" i="23" s="1"/>
  <c r="D57" i="23"/>
  <c r="G57" i="23" s="1"/>
  <c r="D55" i="23"/>
  <c r="G55" i="23" s="1"/>
  <c r="D56" i="23"/>
  <c r="G56" i="23" s="1"/>
  <c r="D71" i="23"/>
  <c r="G71" i="23" s="1"/>
  <c r="D74" i="23"/>
  <c r="G74" i="23" s="1"/>
  <c r="D76" i="23"/>
  <c r="G76" i="23" s="1"/>
  <c r="D73" i="23"/>
  <c r="G73" i="23" s="1"/>
  <c r="D77" i="23"/>
  <c r="G77" i="23" s="1"/>
  <c r="D72" i="23"/>
  <c r="D97" i="21"/>
  <c r="G97" i="21" s="1"/>
  <c r="D58" i="21"/>
  <c r="G54" i="21"/>
  <c r="D43" i="21"/>
  <c r="D85" i="21" s="1"/>
  <c r="G85" i="21" s="1"/>
  <c r="D48" i="21"/>
  <c r="G48" i="21" s="1"/>
  <c r="G83" i="21"/>
  <c r="D55" i="19"/>
  <c r="G55" i="19" s="1"/>
  <c r="D57" i="19"/>
  <c r="G57" i="19" s="1"/>
  <c r="D60" i="19"/>
  <c r="G60" i="19" s="1"/>
  <c r="D65" i="19"/>
  <c r="G65" i="19" s="1"/>
  <c r="D64" i="19"/>
  <c r="G64" i="19" s="1"/>
  <c r="D56" i="19"/>
  <c r="G56" i="19" s="1"/>
  <c r="D54" i="19"/>
  <c r="D63" i="19"/>
  <c r="G63" i="19" s="1"/>
  <c r="D41" i="19"/>
  <c r="C96" i="19"/>
  <c r="D45" i="19"/>
  <c r="G45" i="19" s="1"/>
  <c r="D46" i="19"/>
  <c r="D74" i="19"/>
  <c r="G74" i="19" s="1"/>
  <c r="D76" i="19"/>
  <c r="G76" i="19" s="1"/>
  <c r="D73" i="19"/>
  <c r="G73" i="19" s="1"/>
  <c r="D72" i="19"/>
  <c r="D71" i="19"/>
  <c r="G71" i="19" s="1"/>
  <c r="D77" i="19"/>
  <c r="G77" i="19" s="1"/>
  <c r="D103" i="21" l="1"/>
  <c r="G103" i="21" s="1"/>
  <c r="D2" i="21"/>
  <c r="G43" i="21"/>
  <c r="D49" i="21" s="1"/>
  <c r="I97" i="21"/>
  <c r="D105" i="21"/>
  <c r="G105" i="21" s="1"/>
  <c r="D12" i="21" s="1"/>
  <c r="G72" i="25"/>
  <c r="D75" i="25"/>
  <c r="G75" i="25" s="1"/>
  <c r="D102" i="25"/>
  <c r="D104" i="25"/>
  <c r="G104" i="25" s="1"/>
  <c r="D97" i="25"/>
  <c r="G46" i="25"/>
  <c r="D47" i="25"/>
  <c r="G47" i="25" s="1"/>
  <c r="D48" i="25"/>
  <c r="G48" i="25" s="1"/>
  <c r="D43" i="25"/>
  <c r="D42" i="25"/>
  <c r="G42" i="25" s="1"/>
  <c r="G41" i="25"/>
  <c r="D58" i="25"/>
  <c r="G54" i="25"/>
  <c r="G41" i="23"/>
  <c r="D2" i="23" s="1"/>
  <c r="D48" i="23"/>
  <c r="G48" i="23" s="1"/>
  <c r="D43" i="23"/>
  <c r="D42" i="23"/>
  <c r="G42" i="23" s="1"/>
  <c r="D75" i="23"/>
  <c r="G75" i="23" s="1"/>
  <c r="G72" i="23"/>
  <c r="G54" i="23"/>
  <c r="D58" i="23"/>
  <c r="G46" i="23"/>
  <c r="D47" i="23"/>
  <c r="G47" i="23" s="1"/>
  <c r="D97" i="23"/>
  <c r="D104" i="23"/>
  <c r="G104" i="23" s="1"/>
  <c r="D102" i="23"/>
  <c r="D62" i="21"/>
  <c r="G62" i="21" s="1"/>
  <c r="G58" i="21"/>
  <c r="D92" i="21"/>
  <c r="D102" i="19"/>
  <c r="D97" i="19"/>
  <c r="D104" i="19"/>
  <c r="G104" i="19" s="1"/>
  <c r="D42" i="19"/>
  <c r="G42" i="19" s="1"/>
  <c r="D48" i="19"/>
  <c r="G48" i="19" s="1"/>
  <c r="G41" i="19"/>
  <c r="D43" i="19"/>
  <c r="D75" i="19"/>
  <c r="G75" i="19" s="1"/>
  <c r="G72" i="19"/>
  <c r="G54" i="19"/>
  <c r="D58" i="19"/>
  <c r="D47" i="19"/>
  <c r="G47" i="19" s="1"/>
  <c r="G46" i="19"/>
  <c r="D10" i="21"/>
  <c r="D4" i="21"/>
  <c r="D78" i="23" l="1"/>
  <c r="D66" i="21"/>
  <c r="D78" i="19"/>
  <c r="D106" i="21"/>
  <c r="D109" i="21" s="1"/>
  <c r="D78" i="25"/>
  <c r="D85" i="25"/>
  <c r="G85" i="25" s="1"/>
  <c r="D92" i="25" s="1"/>
  <c r="G43" i="25"/>
  <c r="D49" i="25" s="1"/>
  <c r="I97" i="25"/>
  <c r="D105" i="25"/>
  <c r="G105" i="25" s="1"/>
  <c r="D4" i="25" s="1"/>
  <c r="G97" i="25"/>
  <c r="G58" i="25"/>
  <c r="D62" i="25"/>
  <c r="G62" i="25" s="1"/>
  <c r="D2" i="25"/>
  <c r="D103" i="25"/>
  <c r="G103" i="25" s="1"/>
  <c r="G102" i="25"/>
  <c r="G58" i="23"/>
  <c r="D62" i="23"/>
  <c r="G62" i="23" s="1"/>
  <c r="D85" i="23"/>
  <c r="G85" i="23" s="1"/>
  <c r="D92" i="23" s="1"/>
  <c r="G43" i="23"/>
  <c r="D49" i="23" s="1"/>
  <c r="G102" i="23"/>
  <c r="D103" i="23"/>
  <c r="G103" i="23" s="1"/>
  <c r="I97" i="23"/>
  <c r="D105" i="23"/>
  <c r="G105" i="23" s="1"/>
  <c r="G97" i="23"/>
  <c r="G97" i="19"/>
  <c r="D10" i="19" s="1"/>
  <c r="I97" i="19"/>
  <c r="D105" i="19"/>
  <c r="G105" i="19" s="1"/>
  <c r="D4" i="19" s="1"/>
  <c r="G102" i="19"/>
  <c r="D103" i="19"/>
  <c r="G103" i="19" s="1"/>
  <c r="D62" i="19"/>
  <c r="G62" i="19" s="1"/>
  <c r="G58" i="19"/>
  <c r="D85" i="19"/>
  <c r="G85" i="19" s="1"/>
  <c r="D92" i="19" s="1"/>
  <c r="G43" i="19"/>
  <c r="D49" i="19" s="1"/>
  <c r="D2" i="19"/>
  <c r="F16" i="21"/>
  <c r="D6" i="21" s="1"/>
  <c r="H14" i="20" s="1"/>
  <c r="F17" i="21"/>
  <c r="D8" i="21" s="1"/>
  <c r="J2" i="21" l="1"/>
  <c r="J12" i="21" s="1"/>
  <c r="J15" i="21" s="1"/>
  <c r="J19" i="21" s="1"/>
  <c r="D66" i="19"/>
  <c r="J4" i="21"/>
  <c r="D106" i="23"/>
  <c r="D109" i="23" s="1"/>
  <c r="D66" i="25"/>
  <c r="D106" i="25"/>
  <c r="D109" i="25" s="1"/>
  <c r="D12" i="25"/>
  <c r="D10" i="25"/>
  <c r="D10" i="23"/>
  <c r="F16" i="23" s="1"/>
  <c r="D6" i="23" s="1"/>
  <c r="H14" i="22" s="1"/>
  <c r="D12" i="23"/>
  <c r="D4" i="23"/>
  <c r="D66" i="23"/>
  <c r="J4" i="23" s="1"/>
  <c r="F16" i="19"/>
  <c r="D6" i="19" s="1"/>
  <c r="H14" i="18" s="1"/>
  <c r="D106" i="19"/>
  <c r="D109" i="19" s="1"/>
  <c r="D12" i="19"/>
  <c r="F4" i="21" l="1"/>
  <c r="F3" i="21"/>
  <c r="J14" i="21"/>
  <c r="J17" i="21" s="1"/>
  <c r="J21" i="21" s="1"/>
  <c r="F12" i="21"/>
  <c r="D13" i="21"/>
  <c r="F2" i="21"/>
  <c r="F10" i="21"/>
  <c r="F11" i="21"/>
  <c r="D5" i="21"/>
  <c r="F5" i="21" s="1"/>
  <c r="F10" i="23"/>
  <c r="F12" i="23"/>
  <c r="F11" i="23"/>
  <c r="J14" i="23"/>
  <c r="J17" i="23" s="1"/>
  <c r="J21" i="23" s="1"/>
  <c r="J4" i="25"/>
  <c r="J2" i="25"/>
  <c r="F16" i="25"/>
  <c r="D6" i="25" s="1"/>
  <c r="H14" i="24" s="1"/>
  <c r="F17" i="25"/>
  <c r="D8" i="25" s="1"/>
  <c r="F17" i="23"/>
  <c r="D8" i="23" s="1"/>
  <c r="D13" i="23"/>
  <c r="J2" i="23"/>
  <c r="F4" i="23" s="1"/>
  <c r="F17" i="19"/>
  <c r="D8" i="19" s="1"/>
  <c r="J2" i="19"/>
  <c r="J4" i="19"/>
  <c r="F12" i="19" s="1"/>
  <c r="F18" i="21" l="1"/>
  <c r="D9" i="21" s="1"/>
  <c r="F13" i="21"/>
  <c r="F11" i="25"/>
  <c r="J14" i="25"/>
  <c r="J17" i="25" s="1"/>
  <c r="J21" i="25" s="1"/>
  <c r="D13" i="25"/>
  <c r="F3" i="25"/>
  <c r="D5" i="25"/>
  <c r="F5" i="25" s="1"/>
  <c r="F2" i="25"/>
  <c r="F4" i="25"/>
  <c r="J12" i="25"/>
  <c r="J15" i="25" s="1"/>
  <c r="J19" i="25" s="1"/>
  <c r="F12" i="25"/>
  <c r="F10" i="25"/>
  <c r="F13" i="23"/>
  <c r="J12" i="23"/>
  <c r="J15" i="23" s="1"/>
  <c r="J19" i="23" s="1"/>
  <c r="D5" i="23"/>
  <c r="F5" i="23" s="1"/>
  <c r="F3" i="23"/>
  <c r="F2" i="23"/>
  <c r="J12" i="19"/>
  <c r="J15" i="19" s="1"/>
  <c r="J19" i="19" s="1"/>
  <c r="D5" i="19"/>
  <c r="F5" i="19" s="1"/>
  <c r="F3" i="19"/>
  <c r="F2" i="19"/>
  <c r="F4" i="19"/>
  <c r="D13" i="19"/>
  <c r="F11" i="19"/>
  <c r="J14" i="19"/>
  <c r="J17" i="19" s="1"/>
  <c r="J21" i="19" s="1"/>
  <c r="F10" i="19"/>
  <c r="F9" i="20"/>
  <c r="F8" i="20" s="1"/>
  <c r="J3" i="21" l="1"/>
  <c r="F9" i="21" s="1"/>
  <c r="K6" i="20" s="1"/>
  <c r="I6" i="20" s="1"/>
  <c r="F18" i="23"/>
  <c r="D9" i="23" s="1"/>
  <c r="J3" i="23" s="1"/>
  <c r="J13" i="23" s="1"/>
  <c r="J16" i="23" s="1"/>
  <c r="F13" i="25"/>
  <c r="F18" i="25"/>
  <c r="D9" i="25" s="1"/>
  <c r="F18" i="19"/>
  <c r="D9" i="19" s="1"/>
  <c r="F13" i="19"/>
  <c r="F6" i="21" l="1"/>
  <c r="K3" i="20" s="1"/>
  <c r="I3" i="20" s="1"/>
  <c r="F8" i="21"/>
  <c r="K5" i="20" s="1"/>
  <c r="I5" i="20" s="1"/>
  <c r="J13" i="21"/>
  <c r="J16" i="21" s="1"/>
  <c r="J20" i="21" s="1"/>
  <c r="F7" i="21"/>
  <c r="K4" i="20" s="1"/>
  <c r="I4" i="20" s="1"/>
  <c r="F6" i="23"/>
  <c r="K3" i="22" s="1"/>
  <c r="I3" i="22" s="1"/>
  <c r="F7" i="23"/>
  <c r="K4" i="22" s="1"/>
  <c r="I4" i="22" s="1"/>
  <c r="F9" i="23"/>
  <c r="K6" i="22" s="1"/>
  <c r="I6" i="22" s="1"/>
  <c r="F8" i="23"/>
  <c r="K5" i="22" s="1"/>
  <c r="I5" i="22" s="1"/>
  <c r="J3" i="25"/>
  <c r="F9" i="25" s="1"/>
  <c r="K6" i="24" s="1"/>
  <c r="I6" i="24" s="1"/>
  <c r="J20" i="23"/>
  <c r="F9" i="22"/>
  <c r="F8" i="22" s="1"/>
  <c r="J3" i="19"/>
  <c r="J13" i="25" l="1"/>
  <c r="J16" i="25" s="1"/>
  <c r="F7" i="25"/>
  <c r="K4" i="24" s="1"/>
  <c r="I4" i="24" s="1"/>
  <c r="F6" i="25"/>
  <c r="K3" i="24" s="1"/>
  <c r="I3" i="24" s="1"/>
  <c r="F8" i="25"/>
  <c r="K5" i="24" s="1"/>
  <c r="I5" i="24" s="1"/>
  <c r="J13" i="19"/>
  <c r="J16" i="19" s="1"/>
  <c r="F7" i="19"/>
  <c r="K4" i="18" s="1"/>
  <c r="I4" i="18" s="1"/>
  <c r="F6" i="19"/>
  <c r="K3" i="18" s="1"/>
  <c r="I3" i="18" s="1"/>
  <c r="F8" i="19"/>
  <c r="K5" i="18" s="1"/>
  <c r="I5" i="18" s="1"/>
  <c r="F9" i="19"/>
  <c r="K6" i="18" s="1"/>
  <c r="I6" i="18" s="1"/>
  <c r="F9" i="24" l="1"/>
  <c r="F8" i="24" s="1"/>
  <c r="J20" i="25"/>
  <c r="F9" i="18"/>
  <c r="F8" i="18" s="1"/>
  <c r="J20" i="19"/>
  <c r="D7" i="2" l="1"/>
  <c r="D12" i="2" l="1"/>
  <c r="D11" i="2"/>
  <c r="D10" i="2"/>
  <c r="D9" i="2"/>
  <c r="D3" i="2"/>
  <c r="E94" i="3" l="1"/>
  <c r="N31" i="3"/>
  <c r="T31" i="3"/>
  <c r="E95" i="3"/>
  <c r="R31" i="3" l="1"/>
  <c r="E96" i="3"/>
  <c r="Q27" i="3"/>
  <c r="Q25" i="3"/>
  <c r="Q23" i="3"/>
  <c r="Q21" i="3"/>
  <c r="Q15" i="3"/>
  <c r="D5" i="2" l="1"/>
  <c r="D8" i="2" l="1"/>
  <c r="D4" i="2" l="1"/>
  <c r="E3" i="2" s="1"/>
  <c r="B12" i="3" s="1"/>
  <c r="D6" i="2"/>
  <c r="O19" i="3"/>
  <c r="P65" i="3"/>
  <c r="T62" i="3"/>
  <c r="T61" i="3"/>
  <c r="T60" i="3"/>
  <c r="O41" i="3"/>
  <c r="N32" i="3"/>
  <c r="M31" i="3"/>
  <c r="M29" i="3"/>
  <c r="Q28" i="3"/>
  <c r="O28" i="3"/>
  <c r="N27" i="3"/>
  <c r="M27" i="3"/>
  <c r="Q26" i="3"/>
  <c r="O26" i="3"/>
  <c r="N25" i="3"/>
  <c r="M25" i="3"/>
  <c r="Q24" i="3"/>
  <c r="O24" i="3"/>
  <c r="N23" i="3"/>
  <c r="M23" i="3"/>
  <c r="Q22" i="3"/>
  <c r="O22" i="3"/>
  <c r="N21" i="3"/>
  <c r="M21" i="3"/>
  <c r="Q16" i="3"/>
  <c r="O16" i="3"/>
  <c r="N15" i="3"/>
  <c r="M15" i="3"/>
  <c r="U13" i="3"/>
  <c r="Q13" i="3"/>
  <c r="P13" i="3"/>
  <c r="T11" i="3"/>
  <c r="T10" i="3"/>
  <c r="T9" i="3"/>
  <c r="K8" i="1" l="1"/>
  <c r="R21" i="3"/>
  <c r="T21" i="3" s="1"/>
  <c r="R27" i="3"/>
  <c r="T27" i="3" s="1"/>
  <c r="R25" i="3"/>
  <c r="T25" i="3" s="1"/>
  <c r="R23" i="3"/>
  <c r="T23" i="3" s="1"/>
  <c r="R15" i="3"/>
  <c r="R29" i="3" l="1"/>
  <c r="U27" i="3" l="1"/>
  <c r="T29" i="3"/>
  <c r="U29" i="3" s="1"/>
  <c r="U25" i="3" l="1"/>
  <c r="D89" i="1" l="1"/>
  <c r="G89" i="1" s="1"/>
  <c r="K7" i="1"/>
  <c r="K6" i="1"/>
  <c r="K5" i="1"/>
  <c r="D29" i="1"/>
  <c r="F29" i="1"/>
  <c r="U23" i="3" l="1"/>
  <c r="U21" i="3"/>
  <c r="U31" i="3" l="1"/>
  <c r="F105" i="1" l="1"/>
  <c r="F86" i="1"/>
  <c r="F41" i="1"/>
  <c r="F83" i="1"/>
  <c r="F98" i="1"/>
  <c r="F99" i="1"/>
  <c r="F100" i="1"/>
  <c r="F97" i="1"/>
  <c r="D100" i="1"/>
  <c r="I100" i="1" s="1"/>
  <c r="D98" i="1"/>
  <c r="F91" i="1"/>
  <c r="G90" i="1"/>
  <c r="D86" i="1"/>
  <c r="C82" i="1"/>
  <c r="D83" i="1" s="1"/>
  <c r="F77" i="1"/>
  <c r="F65" i="1"/>
  <c r="G59" i="1"/>
  <c r="F10" i="2"/>
  <c r="C53" i="1" s="1"/>
  <c r="D44" i="1"/>
  <c r="G44" i="1" s="1"/>
  <c r="F48" i="1"/>
  <c r="F36" i="1"/>
  <c r="G33" i="1"/>
  <c r="G32" i="1"/>
  <c r="G29" i="1"/>
  <c r="G31" i="1"/>
  <c r="G30" i="1"/>
  <c r="G28" i="1"/>
  <c r="G27" i="1"/>
  <c r="G26" i="1"/>
  <c r="C25" i="1"/>
  <c r="F25" i="1" s="1"/>
  <c r="G25" i="1" s="1"/>
  <c r="F7" i="2"/>
  <c r="D11" i="1" l="1"/>
  <c r="D3" i="1"/>
  <c r="D99" i="1"/>
  <c r="I99" i="1" s="1"/>
  <c r="I98" i="1"/>
  <c r="D54" i="1"/>
  <c r="D58" i="1" s="1"/>
  <c r="D62" i="1" s="1"/>
  <c r="G62" i="1" s="1"/>
  <c r="D91" i="1"/>
  <c r="G91" i="1" s="1"/>
  <c r="G100" i="1"/>
  <c r="G98" i="1"/>
  <c r="D84" i="1"/>
  <c r="D88" i="1" s="1"/>
  <c r="G88" i="1" s="1"/>
  <c r="C70" i="1"/>
  <c r="C40" i="1"/>
  <c r="G86" i="1"/>
  <c r="G83" i="1"/>
  <c r="D55" i="1"/>
  <c r="D64" i="1"/>
  <c r="G64" i="1" s="1"/>
  <c r="D65" i="1"/>
  <c r="G65" i="1" s="1"/>
  <c r="D57" i="1"/>
  <c r="G57" i="1" s="1"/>
  <c r="D63" i="1"/>
  <c r="G63" i="1" s="1"/>
  <c r="D56" i="1"/>
  <c r="D60" i="1"/>
  <c r="G60" i="1" s="1"/>
  <c r="G61" i="1"/>
  <c r="D7" i="1" l="1"/>
  <c r="G54" i="1"/>
  <c r="D74" i="1"/>
  <c r="G74" i="1" s="1"/>
  <c r="D71" i="1"/>
  <c r="G71" i="1" s="1"/>
  <c r="D77" i="1"/>
  <c r="G77" i="1" s="1"/>
  <c r="D76" i="1"/>
  <c r="G76" i="1" s="1"/>
  <c r="D45" i="1"/>
  <c r="G45" i="1" s="1"/>
  <c r="C96" i="1"/>
  <c r="D104" i="1" s="1"/>
  <c r="G104" i="1" s="1"/>
  <c r="G101" i="1"/>
  <c r="D41" i="1"/>
  <c r="G56" i="1"/>
  <c r="G99" i="1"/>
  <c r="D73" i="1"/>
  <c r="G73" i="1" s="1"/>
  <c r="D72" i="1"/>
  <c r="D75" i="1" s="1"/>
  <c r="G75" i="1" s="1"/>
  <c r="D46" i="1"/>
  <c r="G46" i="1" s="1"/>
  <c r="G84" i="1"/>
  <c r="G87" i="1"/>
  <c r="G58" i="1"/>
  <c r="G55" i="1"/>
  <c r="G72" i="1" l="1"/>
  <c r="D78" i="1" s="1"/>
  <c r="D47" i="1"/>
  <c r="G47" i="1" s="1"/>
  <c r="D42" i="1"/>
  <c r="G42" i="1" s="1"/>
  <c r="D48" i="1"/>
  <c r="G48" i="1" s="1"/>
  <c r="D97" i="1"/>
  <c r="I97" i="1" s="1"/>
  <c r="D102" i="1"/>
  <c r="G41" i="1"/>
  <c r="D2" i="1" s="1"/>
  <c r="D43" i="1"/>
  <c r="G43" i="1" s="1"/>
  <c r="D66" i="1"/>
  <c r="D105" i="1" l="1"/>
  <c r="G105" i="1" s="1"/>
  <c r="G97" i="1"/>
  <c r="D10" i="1" s="1"/>
  <c r="D103" i="1"/>
  <c r="G103" i="1" s="1"/>
  <c r="G102" i="1"/>
  <c r="D49" i="1"/>
  <c r="D85" i="1"/>
  <c r="G85" i="1" s="1"/>
  <c r="D92" i="1" s="1"/>
  <c r="F16" i="1" l="1"/>
  <c r="D6" i="1" s="1"/>
  <c r="D106" i="1"/>
  <c r="D109" i="1" s="1"/>
  <c r="H14" i="2" l="1"/>
  <c r="G35" i="1"/>
  <c r="G34" i="1"/>
  <c r="G36" i="1"/>
  <c r="D12" i="1" l="1"/>
  <c r="D4" i="1"/>
  <c r="D37" i="1"/>
  <c r="J2" i="1" s="1"/>
  <c r="J12" i="1" s="1"/>
  <c r="F17" i="1" l="1"/>
  <c r="D8" i="1" s="1"/>
  <c r="F4" i="1"/>
  <c r="J15" i="1"/>
  <c r="J19" i="1" s="1"/>
  <c r="F3" i="1"/>
  <c r="F2" i="1"/>
  <c r="J4" i="1"/>
  <c r="J14" i="1" s="1"/>
  <c r="D5" i="1"/>
  <c r="F5" i="1" s="1"/>
  <c r="J17" i="1" l="1"/>
  <c r="J21" i="1" s="1"/>
  <c r="F11" i="1"/>
  <c r="F10" i="1"/>
  <c r="F12" i="1"/>
  <c r="D13" i="1"/>
  <c r="F13" i="1" l="1"/>
  <c r="F18" i="1"/>
  <c r="D9" i="1" s="1"/>
  <c r="J3" i="1" s="1"/>
  <c r="J13" i="1" s="1"/>
  <c r="J16" i="1" l="1"/>
  <c r="J20" i="1" s="1"/>
  <c r="F9" i="2" s="1"/>
  <c r="F7" i="1"/>
  <c r="K4" i="2" s="1"/>
  <c r="I4" i="2" s="1"/>
  <c r="F6" i="1"/>
  <c r="K3" i="2" s="1"/>
  <c r="I3" i="2" s="1"/>
  <c r="F8" i="1"/>
  <c r="K5" i="2" s="1"/>
  <c r="I5" i="2" s="1"/>
  <c r="F9" i="1"/>
  <c r="K6" i="2" s="1"/>
  <c r="I6" i="2" s="1"/>
  <c r="F8" i="2" l="1"/>
  <c r="T15" i="3" s="1"/>
  <c r="U15" i="3" s="1"/>
  <c r="T1" i="3" l="1"/>
  <c r="U32" i="3" s="1"/>
  <c r="U33" i="3" s="1"/>
  <c r="U34" i="3" l="1"/>
</calcChain>
</file>

<file path=xl/sharedStrings.xml><?xml version="1.0" encoding="utf-8"?>
<sst xmlns="http://schemas.openxmlformats.org/spreadsheetml/2006/main" count="1281" uniqueCount="224">
  <si>
    <t>تعداد</t>
  </si>
  <si>
    <t>واحد</t>
  </si>
  <si>
    <t>عدد</t>
  </si>
  <si>
    <t>قوطی 20 در 20</t>
  </si>
  <si>
    <t>متر</t>
  </si>
  <si>
    <t>شافت هزار خاری آلومینیوم</t>
  </si>
  <si>
    <t>بلبرینگ 6005</t>
  </si>
  <si>
    <t>پلی آمید 90</t>
  </si>
  <si>
    <t>پلی آمید 60</t>
  </si>
  <si>
    <t xml:space="preserve">پیچ 8 در 3 </t>
  </si>
  <si>
    <t>پیچ 8 در 10 - اتصال پلی آمید 90 به شافت 8 پر</t>
  </si>
  <si>
    <t>رنگ</t>
  </si>
  <si>
    <t>کیلوگرم</t>
  </si>
  <si>
    <t xml:space="preserve">120Nm بکر آلمان </t>
  </si>
  <si>
    <t xml:space="preserve">120Nm  سامفی فرانسه </t>
  </si>
  <si>
    <t>بالاسری</t>
  </si>
  <si>
    <t>عرض - متر</t>
  </si>
  <si>
    <t>فروش</t>
  </si>
  <si>
    <t>نصب</t>
  </si>
  <si>
    <t>نوع موتور</t>
  </si>
  <si>
    <t>قیمت نهایی بر مترمربع (ریال)</t>
  </si>
  <si>
    <t>قیمت یورو</t>
  </si>
  <si>
    <t>قیمت کل (ریال)</t>
  </si>
  <si>
    <t>پارچه نهایی</t>
  </si>
  <si>
    <t>تعداد سیستم (عدد)</t>
  </si>
  <si>
    <t xml:space="preserve">120Nm  اختصاصی سایه روشن </t>
  </si>
  <si>
    <t xml:space="preserve">پلیت لیزر 4 میل </t>
  </si>
  <si>
    <t>پلی آمید یاتاقان چشمی</t>
  </si>
  <si>
    <t>قیمت واحد</t>
  </si>
  <si>
    <t>بوشن هزار خاری آلومینیوم</t>
  </si>
  <si>
    <t>باکس موتور</t>
  </si>
  <si>
    <t>ریل</t>
  </si>
  <si>
    <t>پروفیل آلومینیومی ریل</t>
  </si>
  <si>
    <t>تعداد ریل میانی</t>
  </si>
  <si>
    <t>قیمت آلومینیوم</t>
  </si>
  <si>
    <t>تسمه T10</t>
  </si>
  <si>
    <t>چرخ</t>
  </si>
  <si>
    <t>قیمت رنگ پودری</t>
  </si>
  <si>
    <t>لاستیک آب بند ریل</t>
  </si>
  <si>
    <t>پلیت اتصال چرخ اول 2.5</t>
  </si>
  <si>
    <t>مهره 8 مربعی داخل ریل</t>
  </si>
  <si>
    <t>پیچ واشر دار 8 در 1.5 - اتصال تسمه نگهدارنده چرخ اول</t>
  </si>
  <si>
    <t>تعداد ریل</t>
  </si>
  <si>
    <t>کلگی عقب</t>
  </si>
  <si>
    <t>پلیت کلگی عقب</t>
  </si>
  <si>
    <t>پولی دندانه دار آلومینیومی 2.5</t>
  </si>
  <si>
    <t>درپوش پولی دندانه دار</t>
  </si>
  <si>
    <t>آبکاری</t>
  </si>
  <si>
    <t>پیچ 8 در 3 اتاقی - اتصال یاتاقان چشمی به کلگی</t>
  </si>
  <si>
    <t>پیچ 8 در 12 - اتصال دو پلیت کلگی</t>
  </si>
  <si>
    <t>مغزی 6 در 1.5 - اتصال پولی به ترانس</t>
  </si>
  <si>
    <t>کلگی جلو</t>
  </si>
  <si>
    <t>پولی تفلون</t>
  </si>
  <si>
    <t>پلیت کشش تسمه</t>
  </si>
  <si>
    <t>پیج 8 آلنی برای کشش پلیت</t>
  </si>
  <si>
    <t>پیچ 12 در 12 - پیچ شافت تفلون</t>
  </si>
  <si>
    <t>پانل های آلومینیومی</t>
  </si>
  <si>
    <t>پروفیل آلومینیوم پانل</t>
  </si>
  <si>
    <t>درپوش لیزر پانل</t>
  </si>
  <si>
    <t>تعداد پانل</t>
  </si>
  <si>
    <t>پلیت اتصال به چرخ</t>
  </si>
  <si>
    <t>پروفیل آلومینیوم راهنما</t>
  </si>
  <si>
    <t>شافت اتصال پانل به راهنما</t>
  </si>
  <si>
    <t>بلبرینگ داخل پروفیل راهنما</t>
  </si>
  <si>
    <t>جک</t>
  </si>
  <si>
    <t>سازه - تیر و ستون و آبراه</t>
  </si>
  <si>
    <t>پروفیل آلومینیوم ستون</t>
  </si>
  <si>
    <t>پروفیل آلومینیوم آبراه</t>
  </si>
  <si>
    <t>پروفیل آلومینیوم مکمل  آبراه</t>
  </si>
  <si>
    <t>پروفیل آلومینیوم مکمل  آبراه - جلو</t>
  </si>
  <si>
    <t>اتصال آبراه به مکمل آبراه</t>
  </si>
  <si>
    <t>اتصال تیر به ستون</t>
  </si>
  <si>
    <t>اتصال خروجی آب</t>
  </si>
  <si>
    <t>Box 100x100x3</t>
  </si>
  <si>
    <t>آلومینیوم</t>
  </si>
  <si>
    <t>موتور و جک</t>
  </si>
  <si>
    <t>رنگ پودری</t>
  </si>
  <si>
    <t>سایر</t>
  </si>
  <si>
    <t>Aluminum</t>
  </si>
  <si>
    <t>Motor&amp;Jack</t>
  </si>
  <si>
    <t>Powder Coating</t>
  </si>
  <si>
    <t>Other</t>
  </si>
  <si>
    <t xml:space="preserve">  ( طول ریل) - متر</t>
  </si>
  <si>
    <t>متراژ سیستم سقف آلومینیومی (مترمربع)</t>
  </si>
  <si>
    <t>روشنایی</t>
  </si>
  <si>
    <t>روشنایی پانل ها (خطی LED)</t>
  </si>
  <si>
    <t>روشنایی لبه آبراه(خطی LED)</t>
  </si>
  <si>
    <t>روشنایی پانل ها و لبه آبراه(خطی LED)</t>
  </si>
  <si>
    <t>-------</t>
  </si>
  <si>
    <t>ROOF LEVEL</t>
  </si>
  <si>
    <t>PAVILION</t>
  </si>
  <si>
    <t>مشخصات کارفرما یا نماینده ایشان</t>
  </si>
  <si>
    <t>مشخصات پیش فاکتور</t>
  </si>
  <si>
    <t>عنوان</t>
  </si>
  <si>
    <t>جناب آقای</t>
  </si>
  <si>
    <t>شماره</t>
  </si>
  <si>
    <t>نام و نام خانوادگی</t>
  </si>
  <si>
    <t>تاریخ</t>
  </si>
  <si>
    <t>1403/01/20</t>
  </si>
  <si>
    <t xml:space="preserve">شماره تماس </t>
  </si>
  <si>
    <t>پیوست</t>
  </si>
  <si>
    <t>ندارد</t>
  </si>
  <si>
    <t>ساختار اصلی</t>
  </si>
  <si>
    <t>تنظیم کننده پیش فاکتور</t>
  </si>
  <si>
    <t>Roof Level</t>
  </si>
  <si>
    <t>Nothing</t>
  </si>
  <si>
    <t>سارا قشقاوی</t>
  </si>
  <si>
    <r>
      <rPr>
        <sz val="11"/>
        <color rgb="FF008000"/>
        <rFont val="Calibri"/>
        <family val="2"/>
        <scheme val="minor"/>
      </rPr>
      <t>Sayaneh</t>
    </r>
    <r>
      <rPr>
        <sz val="11"/>
        <color rgb="FFFFFF00"/>
        <rFont val="Calibri"/>
        <family val="2"/>
        <charset val="178"/>
        <scheme val="minor"/>
      </rPr>
      <t xml:space="preserve"> </t>
    </r>
    <r>
      <rPr>
        <sz val="11"/>
        <color rgb="FFFF0000"/>
        <rFont val="Calibri"/>
        <family val="2"/>
        <scheme val="minor"/>
      </rPr>
      <t>*</t>
    </r>
  </si>
  <si>
    <t>Mana</t>
  </si>
  <si>
    <t>Shana</t>
  </si>
  <si>
    <t>Mah Sayeh</t>
  </si>
  <si>
    <r>
      <rPr>
        <sz val="11"/>
        <color rgb="FF002060"/>
        <rFont val="Calibri"/>
        <family val="2"/>
        <scheme val="minor"/>
      </rPr>
      <t>Pavlion</t>
    </r>
    <r>
      <rPr>
        <sz val="11"/>
        <color rgb="FF66FFFF"/>
        <rFont val="Calibri"/>
        <family val="2"/>
        <scheme val="minor"/>
      </rPr>
      <t xml:space="preserve"> </t>
    </r>
    <r>
      <rPr>
        <sz val="11"/>
        <color rgb="FFFF0000"/>
        <rFont val="Calibri"/>
        <family val="2"/>
        <scheme val="minor"/>
      </rPr>
      <t>*</t>
    </r>
  </si>
  <si>
    <t>Atin</t>
  </si>
  <si>
    <t>Atin Plus</t>
  </si>
  <si>
    <t>Paina</t>
  </si>
  <si>
    <t>Horno</t>
  </si>
  <si>
    <t>Aavan</t>
  </si>
  <si>
    <t>ردیف</t>
  </si>
  <si>
    <t>طول ریل</t>
  </si>
  <si>
    <t>عرض دهانه</t>
  </si>
  <si>
    <t>نوع روشنایی</t>
  </si>
  <si>
    <t>پیش فاکتور</t>
  </si>
  <si>
    <t>-----</t>
  </si>
  <si>
    <t>خطی</t>
  </si>
  <si>
    <r>
      <rPr>
        <b/>
        <sz val="10"/>
        <color theme="1"/>
        <rFont val="B Nazanin"/>
        <charset val="178"/>
      </rPr>
      <t>نام کارفرما یا نماینده ایشان :</t>
    </r>
    <r>
      <rPr>
        <sz val="10"/>
        <color theme="1"/>
        <rFont val="B Nazanin"/>
        <charset val="178"/>
      </rPr>
      <t xml:space="preserve"> </t>
    </r>
  </si>
  <si>
    <t xml:space="preserve">شماره تماس : </t>
  </si>
  <si>
    <t>ساختار سقف</t>
  </si>
  <si>
    <t>مبلغ جزء (ریال)</t>
  </si>
  <si>
    <t>مبلغ کل (ریال)</t>
  </si>
  <si>
    <t>به ابعاد :</t>
  </si>
  <si>
    <t>مستطیلی</t>
  </si>
  <si>
    <t>پارچه EPS-PVC با لایه محافظ اکریلیک از نوع Black Out شرکت مهلر آلمان</t>
  </si>
  <si>
    <t>با مشخصات فنی ذیل:</t>
  </si>
  <si>
    <t>عنوان تخفیف</t>
  </si>
  <si>
    <t>تخفیف</t>
  </si>
  <si>
    <t>به همراه موتور</t>
  </si>
  <si>
    <t>نوع تخفیف</t>
  </si>
  <si>
    <t>مبلغ</t>
  </si>
  <si>
    <t xml:space="preserve">  سازه سقف تمام آلومینیوم  دارای پوشش رنگ پودری‌الکترو‌استاتیک با پخت کوره‌ای </t>
  </si>
  <si>
    <t>محل نصب پروژه</t>
  </si>
  <si>
    <t>تهران</t>
  </si>
  <si>
    <t>مدت زمان تحویل</t>
  </si>
  <si>
    <t>سیستم روشنایی</t>
  </si>
  <si>
    <t>نصب تهران و مشهد</t>
  </si>
  <si>
    <t>نصب شهرستان</t>
  </si>
  <si>
    <t>تخفیف در هر سیستم</t>
  </si>
  <si>
    <t xml:space="preserve"> </t>
  </si>
  <si>
    <t xml:space="preserve">سیستم روشنایی سقف جمع‌شونده مشتمل بر سیم‌کشی مخفی، </t>
  </si>
  <si>
    <t xml:space="preserve">عایق‌سازی‌ کابل‌برق، اتصالات،درپوش پروفیل آلومینیوم و منبع تغذیه </t>
  </si>
  <si>
    <t>اکریلیک نقطه‌ای</t>
  </si>
  <si>
    <t>کریستال</t>
  </si>
  <si>
    <t xml:space="preserve">اکریلیک استوانه ای </t>
  </si>
  <si>
    <t xml:space="preserve">جمع کل </t>
  </si>
  <si>
    <t>تنظیم کننده :</t>
  </si>
  <si>
    <t>• اعتبار این پیش فاکتور 48 ساعت می‌باشد.</t>
  </si>
  <si>
    <t>• مدت زمان تحویل و نصب پروژه</t>
  </si>
  <si>
    <t xml:space="preserve">     پس از وصول پبش‌پرداخت می‌باشد.</t>
  </si>
  <si>
    <t xml:space="preserve">• کارمزد نصب سازه برای شهر تهران 8% و شهرستان 10%  لحاظ خواهد شد. </t>
  </si>
  <si>
    <t>• تامین تکیه‌‌گاه مناسب (BASE) جهت نصب به عهده کارفرما می‌باشد.</t>
  </si>
  <si>
    <t xml:space="preserve">• تامین برق، داربست، حمل‌ونقل و جرثقیل(در صورت نیاز)  به عهده کارفرما می باشد. </t>
  </si>
  <si>
    <t xml:space="preserve">• تمامی هزینه های ایاب و ذهاب پرسنل و اسکان در شهرستان ها به عهده کارفرما می باشد. </t>
  </si>
  <si>
    <t>• 80 % مبلغ کل به عنوان پیش پرداخت، 10 % قبل از ارسال محصولات موضوع پیش‌فاکتور از درب کارخــانه و باقیمانده پس از نصب دریافت می‌گردد.</t>
  </si>
  <si>
    <t>• سیستم نور پردازی یک آپشن می باشد که در صورت درخواست مشتری (با توجه به مدل انتخابی) محـاسبه و به قیمت اضافه می‌شود.</t>
  </si>
  <si>
    <t>• مبلغ پیش فاکتور فوق بصورت خالص تنظیم گردیده و در صورت نیاز پرداخت کلیه حقوق دولتی اعم از تامین اجتماعی ،ارزش افزوده و..به این مبلغ اضافه خواهد شد .</t>
  </si>
  <si>
    <t>درصد</t>
  </si>
  <si>
    <t>دارد</t>
  </si>
  <si>
    <t>سرکار خانم</t>
  </si>
  <si>
    <t>نام شرکت</t>
  </si>
  <si>
    <t>شرکت</t>
  </si>
  <si>
    <t>مثلثی</t>
  </si>
  <si>
    <t>FERRARI FLEXLIGHT 6002 VANILLA OPAQUE-Matte PVDF</t>
  </si>
  <si>
    <t>FERRARI FLEXLIGHT 6002 WHITE OPAQUE-Matte PVDF</t>
  </si>
  <si>
    <t>FERRARI FLEXLIGHT 6002 GREY OPAQUE-Matte PVDF</t>
  </si>
  <si>
    <t>تخفیف شرکت همکار</t>
  </si>
  <si>
    <t>Sayaneh</t>
  </si>
  <si>
    <t>FERRARI FLEXLIGHT 6002 ANTHRAZITE OPAQUE-Matte PVDF</t>
  </si>
  <si>
    <t>تخفیف ویژه طبق دستور مدیر عامل</t>
  </si>
  <si>
    <t>Pavlion</t>
  </si>
  <si>
    <t>FERRARI SOLTIC 622 VANILLA OPAQUE</t>
  </si>
  <si>
    <t>تخفیف کارشناس فروش</t>
  </si>
  <si>
    <t>FERRARI SOLTIC 622 WHITE OPAQUE</t>
  </si>
  <si>
    <t>FERRARI SOLTIC 622 GREY OPAQUE</t>
  </si>
  <si>
    <t>FERRARI SOLTIC 622 ANTHRAZITE OPAQUE</t>
  </si>
  <si>
    <t>مشهد</t>
  </si>
  <si>
    <t>MEHLER VANILLA OPAQUE</t>
  </si>
  <si>
    <t>مونا مردانی</t>
  </si>
  <si>
    <t>شهرستان</t>
  </si>
  <si>
    <t>MEHLER VANILLA OPAQUE 3D</t>
  </si>
  <si>
    <t xml:space="preserve">امین دارابی </t>
  </si>
  <si>
    <t>روژین سبحانی</t>
  </si>
  <si>
    <t>FERRARI FLEXLIGHT 6002 VANILLA-Matte PVDF</t>
  </si>
  <si>
    <t>گلچهره</t>
  </si>
  <si>
    <t>FERRARI FLEXLIGHT 6002 WHITE-Matte PVDF</t>
  </si>
  <si>
    <t>سیامک</t>
  </si>
  <si>
    <t>FERRARI FLEXLIGHT 6002 GREY-Matte PVDF</t>
  </si>
  <si>
    <t>پورملائکه</t>
  </si>
  <si>
    <t>FERRARI FLEXLIGHT 6002 ANTHRAZITE-Matte PVDF</t>
  </si>
  <si>
    <t xml:space="preserve">FERRARI SOLTIC 622 VANILLA </t>
  </si>
  <si>
    <t xml:space="preserve">FERRARI SOLTIC 622 WHITE </t>
  </si>
  <si>
    <t xml:space="preserve">FERRARI SOLTIC 622 GREY </t>
  </si>
  <si>
    <t xml:space="preserve">FERRARI SOLTIC 622 ANTHRAZITE </t>
  </si>
  <si>
    <t>پانل های اختصاصی سقف متحرک آلومینیومی با قابلیت نصب روشنایی</t>
  </si>
  <si>
    <t>اختصاصی -----</t>
  </si>
  <si>
    <t>متراژ کلی روشنایی پانل ها (خطی LED)</t>
  </si>
  <si>
    <t>متراژ کلی روشنایی لبه آبراه(خطی LED)</t>
  </si>
  <si>
    <t>قیمت هر مترطول LED</t>
  </si>
  <si>
    <t>SAYANEH</t>
  </si>
  <si>
    <t>PAVLION</t>
  </si>
  <si>
    <t>هزینه مصالح</t>
  </si>
  <si>
    <t>مبلغ فروش</t>
  </si>
  <si>
    <t>اختلاف پاولیون و سایانه</t>
  </si>
  <si>
    <t>ثابت</t>
  </si>
  <si>
    <t>متحرک</t>
  </si>
  <si>
    <t>نوع سقف</t>
  </si>
  <si>
    <t>درصد کاهش قیمت برای سقف ثابت</t>
  </si>
  <si>
    <t>ساختار سازه</t>
  </si>
  <si>
    <t>درصد افزایش قیمت</t>
  </si>
  <si>
    <t>پیش فاکتور سقف متحرک و ثابت آلومینیومی</t>
  </si>
  <si>
    <t xml:space="preserve">        نوع موتور</t>
  </si>
  <si>
    <t>1- مشخصات سقف آلومینیومی در جدول ذیل فقط در خانه های آبی رنگ وارد شود
2- در صورت اعمال تخفیف حتما قسمت عنوان تخفیف و نوع تخفیف انتخاب گردد
3- با انتخاب نوع تخفیف حتما مبلغ و یا درصد تخفیف را در قسمت مشخص شده وارد کنید</t>
  </si>
  <si>
    <t xml:space="preserve">مبلغ </t>
  </si>
  <si>
    <t xml:space="preserve">درصد </t>
  </si>
  <si>
    <t>• در بخش سقفهای ‌جمع‌شونده پوشش پروفیل‌های آلومینیومی از نوع پودری‌الکترواستاتیک به کد 7024  بر اساس استاندارد موسسه بین المللی RAL ارائه می‌گردد و در صورت انتخاب سایر رنگها مازاد هزینه دریافت خواهد شد.</t>
  </si>
  <si>
    <t>•  موتور  به مدت 5 سال دارای گارانتی می‌باشد.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</si>
</sst>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0">
    <numFmt numFmtId="164" formatCode="_(* #,##0.00_);_(* \(#,##0.00\);_(* &quot;-&quot;??_);_(@_)"/>
    <numFmt numFmtId="165" formatCode="_(\ع\د\د\ \س\ی\س\ت\م* #,##0_);_(\ع\د\د\ \س\ی\س\ت\م* \(#,##0\);_(\ع\د\د\ \س\ی\س\ت\م* &quot;-&quot;_);_(@_)"/>
    <numFmt numFmtId="166" formatCode="_(\م\ت\ر\م\ر\ب\ع* #,##0.00_);_(\م\ت\ر\م\ر\ب\ع* \(#,##0.00\);_(\م\ت\ر\م\ر\ب\ع* &quot;-&quot;_);_(@_)"/>
    <numFmt numFmtId="167" formatCode="_(\س\ا\ن\ت\ی\ \م\ت\ر\ \ط\و\ل\ \ر\ی\ل* #,##0_);_(\س\ا\ن\ت\ی\ \م\ت\ر\ \ط\و\ل\ \ر\ی\ل* \(#,##0\);_(\س\ا\ن\ت\ی\ \م\ت\ر\ \ط\و\ل\ \ر\ی\ل* &quot;-&quot;_);_(@_)"/>
    <numFmt numFmtId="168" formatCode="_(\س\ا\ن\ت\ی\ \م\ت\ر\ \ع\ر\ض\ \د\ه\ا\ن\ه* #,##0_);_(\س\ا\ن\ت\ی\ \م\ت\ر\ \ع\ر\ض\ \د\ه\ا\ن\ه* \(#,##0\);_(\س\ا\ن\ت\ی\ \م\ت\ر\ \ع\ر\ض\ \د\ه\ا\ن\ه* &quot;-&quot;_);_(@_)"/>
    <numFmt numFmtId="169" formatCode="_(\ر\و\ز\ \ک\ا\ر\ی* #,##0_);_(\ر\و\ز\ \ک\ا\ر\ی* \(#,##0\);_(\ر\و\ز\ \ک\ا\ر\ی* &quot;-&quot;_);_(@_)"/>
    <numFmt numFmtId="170" formatCode="_(\د\ر\ص\د* #,##0_);_(\د\ر\ص\د\ل* \(#,##0\);_(\د\ر\ص\د* &quot;-&quot;_);_(@_)"/>
    <numFmt numFmtId="171" formatCode="_(* #,##0_);_(* \(#,##0\);_(* &quot;-&quot;??_);_(@_)"/>
    <numFmt numFmtId="172" formatCode="_(\د\ر\ص\د* #,##0_);_(\د\ر\ص\د* \(#,##0\);_(\د\ر\ص\د* &quot;-&quot;_);_(@_)"/>
    <numFmt numFmtId="173" formatCode="_(\ر\ی\ا\ل* #,##0_);_(\ر\ی\ا\ل* \(#,##0\);_(\ر\ی\ا\ل* &quot;-&quot;_);_(@_)"/>
  </numFmts>
  <fonts count="6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i/>
      <sz val="16"/>
      <color rgb="FF002060"/>
      <name val="Calibri"/>
      <family val="2"/>
    </font>
    <font>
      <b/>
      <i/>
      <sz val="12"/>
      <color rgb="FF002060"/>
      <name val="Calibri"/>
      <family val="2"/>
    </font>
    <font>
      <sz val="11"/>
      <name val="Calibri"/>
      <family val="2"/>
    </font>
    <font>
      <sz val="9"/>
      <name val="Calibri"/>
      <family val="2"/>
    </font>
    <font>
      <b/>
      <sz val="9"/>
      <name val="Calibri"/>
      <family val="2"/>
    </font>
    <font>
      <sz val="10"/>
      <name val="Calibri"/>
      <family val="2"/>
    </font>
    <font>
      <b/>
      <sz val="12"/>
      <color rgb="FFFF0000"/>
      <name val="Calibri"/>
      <family val="2"/>
    </font>
    <font>
      <b/>
      <sz val="16"/>
      <name val="Calibri"/>
      <family val="2"/>
    </font>
    <font>
      <b/>
      <sz val="11"/>
      <color rgb="FFFF000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</font>
    <font>
      <b/>
      <sz val="11"/>
      <color theme="1"/>
      <name val="Calibri"/>
      <family val="2"/>
    </font>
    <font>
      <b/>
      <sz val="12"/>
      <color rgb="FF002060"/>
      <name val="Calibri"/>
      <family val="2"/>
    </font>
    <font>
      <sz val="11"/>
      <color theme="1"/>
      <name val="Calibri"/>
      <family val="2"/>
    </font>
    <font>
      <b/>
      <sz val="9"/>
      <color theme="1"/>
      <name val="Calibri"/>
      <family val="2"/>
      <scheme val="minor"/>
    </font>
    <font>
      <b/>
      <sz val="18"/>
      <name val="B Nazanin"/>
      <charset val="178"/>
    </font>
    <font>
      <b/>
      <sz val="16"/>
      <color theme="1"/>
      <name val="B Nazanin"/>
      <charset val="178"/>
    </font>
    <font>
      <b/>
      <sz val="9"/>
      <color theme="1"/>
      <name val="Calibri"/>
      <family val="2"/>
    </font>
    <font>
      <b/>
      <sz val="11"/>
      <color rgb="FF002060"/>
      <name val="B Nazanin"/>
      <charset val="178"/>
    </font>
    <font>
      <b/>
      <sz val="14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2"/>
      <color theme="1"/>
      <name val="B Nazanin"/>
      <charset val="178"/>
    </font>
    <font>
      <sz val="11"/>
      <color theme="0"/>
      <name val="Calibri"/>
      <family val="2"/>
      <charset val="178"/>
      <scheme val="minor"/>
    </font>
    <font>
      <sz val="11"/>
      <color theme="1"/>
      <name val="B Nazanin"/>
      <charset val="178"/>
    </font>
    <font>
      <b/>
      <sz val="11"/>
      <name val="B Nazanin"/>
      <charset val="178"/>
    </font>
    <font>
      <b/>
      <sz val="11"/>
      <name val="Calibri"/>
      <family val="2"/>
      <charset val="178"/>
      <scheme val="minor"/>
    </font>
    <font>
      <sz val="10"/>
      <color rgb="FF66FFFF"/>
      <name val="B Nazanin"/>
      <charset val="178"/>
    </font>
    <font>
      <sz val="11"/>
      <color rgb="FF7030A0"/>
      <name val="Calibri"/>
      <family val="2"/>
      <scheme val="minor"/>
    </font>
    <font>
      <sz val="11"/>
      <color rgb="FF002060"/>
      <name val="Calibri"/>
      <family val="2"/>
      <scheme val="minor"/>
    </font>
    <font>
      <sz val="11"/>
      <color rgb="FFFFFF00"/>
      <name val="Calibri"/>
      <family val="2"/>
      <scheme val="minor"/>
    </font>
    <font>
      <sz val="11"/>
      <color rgb="FF008000"/>
      <name val="Calibri"/>
      <family val="2"/>
      <scheme val="minor"/>
    </font>
    <font>
      <sz val="11"/>
      <color rgb="FFFFFF00"/>
      <name val="Calibri"/>
      <family val="2"/>
      <charset val="178"/>
      <scheme val="minor"/>
    </font>
    <font>
      <sz val="10"/>
      <color rgb="FF66FFFF"/>
      <name val="Calibri"/>
      <family val="2"/>
      <charset val="178"/>
      <scheme val="minor"/>
    </font>
    <font>
      <sz val="11"/>
      <color rgb="FF66FFFF"/>
      <name val="Calibri"/>
      <family val="2"/>
      <scheme val="minor"/>
    </font>
    <font>
      <sz val="10"/>
      <color theme="1"/>
      <name val="Calibri"/>
      <family val="2"/>
      <charset val="178"/>
      <scheme val="minor"/>
    </font>
    <font>
      <sz val="12"/>
      <color theme="1"/>
      <name val="B Titr"/>
      <charset val="178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sz val="11"/>
      <color rgb="FFFFC000"/>
      <name val="Calibri"/>
      <family val="2"/>
      <scheme val="minor"/>
    </font>
    <font>
      <sz val="10"/>
      <color theme="1"/>
      <name val="B Nazanin"/>
      <charset val="178"/>
    </font>
    <font>
      <b/>
      <sz val="10"/>
      <color theme="1"/>
      <name val="B Nazanin"/>
      <charset val="178"/>
    </font>
    <font>
      <sz val="11.5"/>
      <color theme="1"/>
      <name val="B Nazanin"/>
      <charset val="178"/>
    </font>
    <font>
      <sz val="10"/>
      <color rgb="FF0070C0"/>
      <name val="Calibri"/>
      <family val="2"/>
    </font>
    <font>
      <sz val="11"/>
      <color theme="0" tint="-0.249977111117893"/>
      <name val="Calibri"/>
      <family val="2"/>
    </font>
    <font>
      <sz val="11"/>
      <color rgb="FF0070C0"/>
      <name val="Calibri"/>
      <family val="2"/>
      <scheme val="minor"/>
    </font>
    <font>
      <sz val="11"/>
      <color rgb="FF0070C0"/>
      <name val="Calibri"/>
      <family val="2"/>
    </font>
    <font>
      <sz val="11"/>
      <color theme="1"/>
      <name val="B Mitra"/>
      <charset val="178"/>
    </font>
    <font>
      <b/>
      <sz val="11"/>
      <color theme="1"/>
      <name val="B Nazanin"/>
      <charset val="178"/>
    </font>
    <font>
      <sz val="10"/>
      <name val="B Traffic"/>
      <charset val="178"/>
    </font>
    <font>
      <sz val="11"/>
      <name val="B Nazanin"/>
      <charset val="178"/>
    </font>
    <font>
      <b/>
      <sz val="14"/>
      <color theme="1"/>
      <name val="B Nazanin"/>
      <charset val="178"/>
    </font>
    <font>
      <b/>
      <sz val="14"/>
      <color theme="0"/>
      <name val="Calibri"/>
      <family val="2"/>
      <scheme val="minor"/>
    </font>
    <font>
      <sz val="11"/>
      <color rgb="FF002060"/>
      <name val="B Nazanin"/>
      <charset val="178"/>
    </font>
    <font>
      <sz val="12"/>
      <color theme="0"/>
      <name val="B Nazanin"/>
      <charset val="178"/>
    </font>
    <font>
      <b/>
      <sz val="9"/>
      <color theme="1"/>
      <name val="B Nazanin"/>
      <charset val="178"/>
    </font>
    <font>
      <b/>
      <sz val="8"/>
      <name val="B Nazanin"/>
      <charset val="178"/>
    </font>
    <font>
      <sz val="10"/>
      <color theme="0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sz val="11"/>
      <color rgb="FFFF0000"/>
      <name val="B Nazanin"/>
      <charset val="178"/>
    </font>
    <font>
      <sz val="12"/>
      <name val="B Nazanin"/>
      <charset val="178"/>
    </font>
  </fonts>
  <fills count="18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rgb="FFEAEAEA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3" tint="0.59999389629810485"/>
        <bgColor indexed="64"/>
      </patternFill>
    </fill>
  </fills>
  <borders count="6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hair">
        <color indexed="64"/>
      </left>
      <right/>
      <top style="thin">
        <color indexed="64"/>
      </top>
      <bottom/>
      <diagonal/>
    </border>
    <border>
      <left/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/>
      <top/>
      <bottom style="thin">
        <color indexed="64"/>
      </bottom>
      <diagonal/>
    </border>
    <border>
      <left/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164" fontId="1" fillId="0" borderId="0" applyFont="0" applyFill="0" applyBorder="0" applyAlignment="0" applyProtection="0"/>
  </cellStyleXfs>
  <cellXfs count="323">
    <xf numFmtId="0" fontId="0" fillId="0" borderId="0" xfId="0"/>
    <xf numFmtId="0" fontId="2" fillId="2" borderId="1" xfId="0" applyFont="1" applyFill="1" applyBorder="1" applyAlignment="1">
      <alignment horizontal="center" vertical="center" wrapText="1"/>
    </xf>
    <xf numFmtId="3" fontId="4" fillId="2" borderId="1" xfId="0" applyNumberFormat="1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/>
    </xf>
    <xf numFmtId="3" fontId="6" fillId="2" borderId="1" xfId="0" applyNumberFormat="1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3" fontId="4" fillId="3" borderId="1" xfId="0" applyNumberFormat="1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3" fontId="8" fillId="2" borderId="1" xfId="0" applyNumberFormat="1" applyFont="1" applyFill="1" applyBorder="1" applyAlignment="1">
      <alignment horizontal="center" vertical="center" wrapText="1"/>
    </xf>
    <xf numFmtId="0" fontId="1" fillId="4" borderId="0" xfId="0" applyFont="1" applyFill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2" fontId="0" fillId="5" borderId="0" xfId="0" applyNumberFormat="1" applyFill="1"/>
    <xf numFmtId="0" fontId="10" fillId="5" borderId="0" xfId="0" applyFont="1" applyFill="1" applyAlignment="1">
      <alignment vertical="center"/>
    </xf>
    <xf numFmtId="3" fontId="1" fillId="5" borderId="0" xfId="0" applyNumberFormat="1" applyFont="1" applyFill="1" applyAlignment="1">
      <alignment horizontal="center" vertical="center"/>
    </xf>
    <xf numFmtId="0" fontId="11" fillId="5" borderId="0" xfId="0" applyFont="1" applyFill="1" applyAlignment="1">
      <alignment horizontal="center" vertical="center"/>
    </xf>
    <xf numFmtId="0" fontId="12" fillId="0" borderId="2" xfId="0" applyFont="1" applyBorder="1" applyAlignment="1">
      <alignment vertical="center"/>
    </xf>
    <xf numFmtId="1" fontId="14" fillId="6" borderId="3" xfId="0" applyNumberFormat="1" applyFont="1" applyFill="1" applyBorder="1" applyAlignment="1">
      <alignment horizontal="center" vertical="center"/>
    </xf>
    <xf numFmtId="0" fontId="12" fillId="0" borderId="6" xfId="0" applyFont="1" applyBorder="1" applyAlignment="1">
      <alignment vertical="center"/>
    </xf>
    <xf numFmtId="3" fontId="13" fillId="7" borderId="1" xfId="0" applyNumberFormat="1" applyFont="1" applyFill="1" applyBorder="1" applyAlignment="1">
      <alignment horizontal="center" vertical="center"/>
    </xf>
    <xf numFmtId="3" fontId="12" fillId="0" borderId="1" xfId="0" applyNumberFormat="1" applyFont="1" applyBorder="1" applyAlignment="1">
      <alignment horizontal="center" vertical="center"/>
    </xf>
    <xf numFmtId="3" fontId="15" fillId="0" borderId="1" xfId="0" applyNumberFormat="1" applyFont="1" applyBorder="1" applyAlignment="1">
      <alignment horizontal="center" vertical="center"/>
    </xf>
    <xf numFmtId="2" fontId="12" fillId="0" borderId="1" xfId="0" applyNumberFormat="1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1" fillId="4" borderId="0" xfId="0" applyFont="1" applyFill="1" applyAlignment="1">
      <alignment horizontal="center" vertical="center"/>
    </xf>
    <xf numFmtId="0" fontId="16" fillId="4" borderId="0" xfId="0" applyFont="1" applyFill="1" applyAlignment="1">
      <alignment vertical="center"/>
    </xf>
    <xf numFmtId="2" fontId="16" fillId="4" borderId="0" xfId="0" applyNumberFormat="1" applyFont="1" applyFill="1" applyAlignment="1">
      <alignment vertical="center"/>
    </xf>
    <xf numFmtId="3" fontId="1" fillId="4" borderId="0" xfId="0" applyNumberFormat="1" applyFont="1" applyFill="1" applyAlignment="1">
      <alignment horizontal="center" vertical="center"/>
    </xf>
    <xf numFmtId="0" fontId="1" fillId="4" borderId="0" xfId="0" applyFont="1" applyFill="1" applyAlignment="1">
      <alignment vertical="center" wrapText="1"/>
    </xf>
    <xf numFmtId="0" fontId="1" fillId="4" borderId="0" xfId="0" applyFont="1" applyFill="1" applyAlignment="1">
      <alignment horizontal="right" vertical="center"/>
    </xf>
    <xf numFmtId="2" fontId="1" fillId="4" borderId="0" xfId="0" applyNumberFormat="1" applyFont="1" applyFill="1" applyAlignment="1">
      <alignment horizontal="center" vertical="center"/>
    </xf>
    <xf numFmtId="0" fontId="1" fillId="4" borderId="0" xfId="0" applyFont="1" applyFill="1" applyAlignment="1">
      <alignment vertical="center"/>
    </xf>
    <xf numFmtId="3" fontId="1" fillId="4" borderId="0" xfId="0" applyNumberFormat="1" applyFont="1" applyFill="1" applyAlignment="1">
      <alignment vertical="center"/>
    </xf>
    <xf numFmtId="2" fontId="0" fillId="4" borderId="0" xfId="0" applyNumberFormat="1" applyFill="1"/>
    <xf numFmtId="2" fontId="0" fillId="0" borderId="0" xfId="0" applyNumberFormat="1"/>
    <xf numFmtId="3" fontId="1" fillId="0" borderId="0" xfId="0" applyNumberFormat="1" applyFont="1" applyAlignment="1">
      <alignment horizontal="center" vertical="center"/>
    </xf>
    <xf numFmtId="2" fontId="5" fillId="2" borderId="1" xfId="0" applyNumberFormat="1" applyFont="1" applyFill="1" applyBorder="1" applyAlignment="1">
      <alignment horizontal="center" vertical="center" wrapText="1"/>
    </xf>
    <xf numFmtId="2" fontId="4" fillId="2" borderId="1" xfId="0" applyNumberFormat="1" applyFont="1" applyFill="1" applyBorder="1" applyAlignment="1">
      <alignment horizontal="center" vertical="center"/>
    </xf>
    <xf numFmtId="1" fontId="4" fillId="2" borderId="1" xfId="0" applyNumberFormat="1" applyFont="1" applyFill="1" applyBorder="1" applyAlignment="1">
      <alignment horizontal="center" vertical="center"/>
    </xf>
    <xf numFmtId="1" fontId="5" fillId="2" borderId="1" xfId="0" applyNumberFormat="1" applyFont="1" applyFill="1" applyBorder="1" applyAlignment="1">
      <alignment horizontal="center" vertical="center" wrapText="1"/>
    </xf>
    <xf numFmtId="9" fontId="11" fillId="4" borderId="0" xfId="0" applyNumberFormat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3" fontId="13" fillId="9" borderId="1" xfId="0" applyNumberFormat="1" applyFont="1" applyFill="1" applyBorder="1" applyAlignment="1">
      <alignment horizontal="center" vertical="center"/>
    </xf>
    <xf numFmtId="2" fontId="12" fillId="9" borderId="1" xfId="0" applyNumberFormat="1" applyFont="1" applyFill="1" applyBorder="1" applyAlignment="1">
      <alignment horizontal="center" vertical="center"/>
    </xf>
    <xf numFmtId="2" fontId="19" fillId="9" borderId="1" xfId="0" applyNumberFormat="1" applyFont="1" applyFill="1" applyBorder="1" applyAlignment="1">
      <alignment horizontal="center" vertical="center"/>
    </xf>
    <xf numFmtId="49" fontId="0" fillId="4" borderId="0" xfId="0" applyNumberFormat="1" applyFill="1" applyAlignment="1">
      <alignment horizontal="right"/>
    </xf>
    <xf numFmtId="3" fontId="4" fillId="10" borderId="1" xfId="0" applyNumberFormat="1" applyFont="1" applyFill="1" applyBorder="1" applyAlignment="1">
      <alignment horizontal="center" vertical="center"/>
    </xf>
    <xf numFmtId="3" fontId="4" fillId="0" borderId="1" xfId="0" applyNumberFormat="1" applyFont="1" applyBorder="1" applyAlignment="1">
      <alignment horizontal="center" vertical="center"/>
    </xf>
    <xf numFmtId="3" fontId="0" fillId="0" borderId="0" xfId="0" applyNumberFormat="1" applyAlignment="1">
      <alignment horizontal="center"/>
    </xf>
    <xf numFmtId="0" fontId="35" fillId="0" borderId="0" xfId="0" applyFont="1" applyAlignment="1">
      <alignment horizontal="right" vertical="center" readingOrder="2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left" vertical="center"/>
    </xf>
    <xf numFmtId="0" fontId="26" fillId="0" borderId="0" xfId="0" applyFont="1" applyAlignment="1">
      <alignment horizontal="center" vertical="center"/>
    </xf>
    <xf numFmtId="0" fontId="0" fillId="0" borderId="0" xfId="0" quotePrefix="1"/>
    <xf numFmtId="0" fontId="41" fillId="0" borderId="0" xfId="0" applyFont="1" applyAlignment="1">
      <alignment horizontal="center" vertical="center"/>
    </xf>
    <xf numFmtId="0" fontId="38" fillId="0" borderId="0" xfId="0" applyFont="1" applyAlignment="1">
      <alignment vertical="center"/>
    </xf>
    <xf numFmtId="0" fontId="38" fillId="0" borderId="0" xfId="0" applyFont="1" applyAlignment="1">
      <alignment horizontal="center" vertical="center"/>
    </xf>
    <xf numFmtId="0" fontId="1" fillId="0" borderId="0" xfId="0" quotePrefix="1" applyFont="1" applyAlignment="1">
      <alignment horizontal="center" vertical="center"/>
    </xf>
    <xf numFmtId="0" fontId="42" fillId="0" borderId="9" xfId="0" applyFont="1" applyBorder="1" applyAlignment="1">
      <alignment horizontal="center" vertical="center"/>
    </xf>
    <xf numFmtId="0" fontId="43" fillId="0" borderId="9" xfId="0" applyFont="1" applyBorder="1" applyAlignment="1">
      <alignment vertical="center" readingOrder="2"/>
    </xf>
    <xf numFmtId="2" fontId="42" fillId="0" borderId="10" xfId="0" applyNumberFormat="1" applyFont="1" applyBorder="1" applyAlignment="1">
      <alignment horizontal="left" vertical="center" readingOrder="2"/>
    </xf>
    <xf numFmtId="2" fontId="42" fillId="0" borderId="0" xfId="0" applyNumberFormat="1" applyFont="1" applyAlignment="1">
      <alignment horizontal="left" vertical="center" readingOrder="2"/>
    </xf>
    <xf numFmtId="49" fontId="24" fillId="0" borderId="0" xfId="0" applyNumberFormat="1" applyFont="1" applyAlignment="1">
      <alignment horizontal="right" vertical="center" readingOrder="2"/>
    </xf>
    <xf numFmtId="0" fontId="42" fillId="0" borderId="1" xfId="0" applyFont="1" applyBorder="1" applyAlignment="1">
      <alignment horizontal="center" vertical="center" readingOrder="2"/>
    </xf>
    <xf numFmtId="0" fontId="42" fillId="0" borderId="29" xfId="0" applyFont="1" applyBorder="1" applyAlignment="1">
      <alignment horizontal="center" vertical="center" readingOrder="2"/>
    </xf>
    <xf numFmtId="0" fontId="42" fillId="0" borderId="30" xfId="0" applyFont="1" applyBorder="1" applyAlignment="1">
      <alignment horizontal="center" vertical="center" readingOrder="2"/>
    </xf>
    <xf numFmtId="0" fontId="42" fillId="0" borderId="0" xfId="0" applyFont="1" applyAlignment="1">
      <alignment horizontal="center" vertical="center" readingOrder="2"/>
    </xf>
    <xf numFmtId="0" fontId="44" fillId="0" borderId="0" xfId="0" applyFont="1" applyAlignment="1">
      <alignment horizontal="center" vertical="center" readingOrder="2"/>
    </xf>
    <xf numFmtId="165" fontId="42" fillId="0" borderId="33" xfId="0" applyNumberFormat="1" applyFont="1" applyBorder="1" applyAlignment="1">
      <alignment horizontal="center" vertical="center" readingOrder="2"/>
    </xf>
    <xf numFmtId="0" fontId="37" fillId="2" borderId="36" xfId="0" applyFont="1" applyFill="1" applyBorder="1" applyAlignment="1">
      <alignment horizontal="center" vertical="center"/>
    </xf>
    <xf numFmtId="3" fontId="42" fillId="0" borderId="0" xfId="0" applyNumberFormat="1" applyFont="1" applyAlignment="1">
      <alignment horizontal="center" vertical="center" readingOrder="2"/>
    </xf>
    <xf numFmtId="3" fontId="24" fillId="0" borderId="0" xfId="0" applyNumberFormat="1" applyFont="1" applyAlignment="1">
      <alignment horizontal="center" vertical="center" readingOrder="2"/>
    </xf>
    <xf numFmtId="0" fontId="42" fillId="0" borderId="40" xfId="0" applyFont="1" applyBorder="1" applyAlignment="1">
      <alignment horizontal="center" vertical="top" wrapText="1" readingOrder="2"/>
    </xf>
    <xf numFmtId="168" fontId="42" fillId="0" borderId="43" xfId="0" applyNumberFormat="1" applyFont="1" applyBorder="1" applyAlignment="1">
      <alignment horizontal="center" vertical="center" readingOrder="2"/>
    </xf>
    <xf numFmtId="0" fontId="42" fillId="2" borderId="31" xfId="0" applyFont="1" applyFill="1" applyBorder="1" applyAlignment="1">
      <alignment horizontal="left" vertical="center" readingOrder="2"/>
    </xf>
    <xf numFmtId="165" fontId="42" fillId="0" borderId="50" xfId="0" applyNumberFormat="1" applyFont="1" applyBorder="1" applyAlignment="1">
      <alignment horizontal="center" vertical="center" readingOrder="2"/>
    </xf>
    <xf numFmtId="0" fontId="37" fillId="2" borderId="51" xfId="0" applyFont="1" applyFill="1" applyBorder="1" applyAlignment="1">
      <alignment horizontal="center" vertical="center"/>
    </xf>
    <xf numFmtId="168" fontId="42" fillId="0" borderId="53" xfId="0" applyNumberFormat="1" applyFont="1" applyBorder="1" applyAlignment="1">
      <alignment horizontal="center" vertical="center" readingOrder="2"/>
    </xf>
    <xf numFmtId="3" fontId="42" fillId="0" borderId="1" xfId="0" applyNumberFormat="1" applyFont="1" applyBorder="1" applyAlignment="1">
      <alignment horizontal="center" vertical="center" readingOrder="2"/>
    </xf>
    <xf numFmtId="1" fontId="42" fillId="0" borderId="49" xfId="0" applyNumberFormat="1" applyFont="1" applyBorder="1" applyAlignment="1">
      <alignment horizontal="center" vertical="center" readingOrder="1"/>
    </xf>
    <xf numFmtId="3" fontId="42" fillId="0" borderId="1" xfId="0" applyNumberFormat="1" applyFont="1" applyBorder="1" applyAlignment="1">
      <alignment horizontal="center" vertical="center"/>
    </xf>
    <xf numFmtId="3" fontId="42" fillId="0" borderId="0" xfId="0" applyNumberFormat="1" applyFont="1" applyAlignment="1">
      <alignment horizontal="center" vertical="center"/>
    </xf>
    <xf numFmtId="3" fontId="24" fillId="0" borderId="0" xfId="0" applyNumberFormat="1" applyFont="1" applyAlignment="1">
      <alignment horizontal="center" vertical="center"/>
    </xf>
    <xf numFmtId="0" fontId="0" fillId="0" borderId="8" xfId="0" applyBorder="1"/>
    <xf numFmtId="0" fontId="0" fillId="0" borderId="9" xfId="0" applyBorder="1"/>
    <xf numFmtId="3" fontId="42" fillId="0" borderId="9" xfId="0" applyNumberFormat="1" applyFont="1" applyBorder="1" applyAlignment="1">
      <alignment vertical="center" readingOrder="1"/>
    </xf>
    <xf numFmtId="170" fontId="42" fillId="0" borderId="9" xfId="0" applyNumberFormat="1" applyFont="1" applyBorder="1" applyAlignment="1">
      <alignment vertical="center" readingOrder="2"/>
    </xf>
    <xf numFmtId="3" fontId="42" fillId="0" borderId="10" xfId="0" applyNumberFormat="1" applyFont="1" applyBorder="1" applyAlignment="1">
      <alignment horizontal="center" vertical="center"/>
    </xf>
    <xf numFmtId="3" fontId="26" fillId="0" borderId="0" xfId="0" applyNumberFormat="1" applyFont="1" applyAlignment="1">
      <alignment horizontal="center" vertical="center" readingOrder="2"/>
    </xf>
    <xf numFmtId="3" fontId="42" fillId="0" borderId="28" xfId="0" applyNumberFormat="1" applyFont="1" applyBorder="1" applyAlignment="1">
      <alignment vertical="center" readingOrder="1"/>
    </xf>
    <xf numFmtId="3" fontId="42" fillId="0" borderId="28" xfId="0" applyNumberFormat="1" applyFont="1" applyBorder="1" applyAlignment="1">
      <alignment vertical="center" readingOrder="2"/>
    </xf>
    <xf numFmtId="3" fontId="49" fillId="0" borderId="0" xfId="0" applyNumberFormat="1" applyFont="1" applyAlignment="1">
      <alignment horizontal="right" vertical="center" wrapText="1" readingOrder="2"/>
    </xf>
    <xf numFmtId="169" fontId="50" fillId="0" borderId="0" xfId="0" applyNumberFormat="1" applyFont="1" applyAlignment="1">
      <alignment vertical="center" readingOrder="2"/>
    </xf>
    <xf numFmtId="3" fontId="49" fillId="0" borderId="0" xfId="0" applyNumberFormat="1" applyFont="1" applyAlignment="1">
      <alignment vertical="center" wrapText="1" readingOrder="2"/>
    </xf>
    <xf numFmtId="0" fontId="49" fillId="0" borderId="0" xfId="0" applyFont="1" applyAlignment="1">
      <alignment horizontal="right" vertical="center" wrapText="1" readingOrder="2"/>
    </xf>
    <xf numFmtId="0" fontId="0" fillId="0" borderId="0" xfId="0" applyAlignment="1">
      <alignment horizontal="right" wrapText="1" readingOrder="2"/>
    </xf>
    <xf numFmtId="0" fontId="0" fillId="0" borderId="1" xfId="0" applyBorder="1" applyAlignment="1">
      <alignment horizontal="center" vertical="center"/>
    </xf>
    <xf numFmtId="0" fontId="42" fillId="0" borderId="8" xfId="0" applyFont="1" applyBorder="1" applyAlignment="1">
      <alignment horizontal="center" vertical="center" readingOrder="2"/>
    </xf>
    <xf numFmtId="0" fontId="42" fillId="0" borderId="48" xfId="0" applyFont="1" applyBorder="1" applyAlignment="1">
      <alignment horizontal="center" vertical="center" readingOrder="2"/>
    </xf>
    <xf numFmtId="0" fontId="0" fillId="0" borderId="0" xfId="0" applyAlignment="1">
      <alignment horizontal="center"/>
    </xf>
    <xf numFmtId="0" fontId="0" fillId="11" borderId="0" xfId="0" applyFill="1" applyAlignment="1">
      <alignment vertical="center"/>
    </xf>
    <xf numFmtId="9" fontId="0" fillId="11" borderId="0" xfId="1" applyFont="1" applyFill="1" applyAlignment="1">
      <alignment horizontal="center" vertical="center"/>
    </xf>
    <xf numFmtId="0" fontId="0" fillId="12" borderId="0" xfId="0" applyFill="1" applyAlignment="1">
      <alignment vertical="center"/>
    </xf>
    <xf numFmtId="9" fontId="0" fillId="12" borderId="0" xfId="1" applyFont="1" applyFill="1" applyAlignment="1">
      <alignment horizontal="center" vertical="center"/>
    </xf>
    <xf numFmtId="0" fontId="0" fillId="13" borderId="0" xfId="0" applyFill="1" applyAlignment="1">
      <alignment vertical="center"/>
    </xf>
    <xf numFmtId="9" fontId="0" fillId="13" borderId="0" xfId="1" applyFont="1" applyFill="1" applyAlignment="1">
      <alignment horizontal="center" vertical="center"/>
    </xf>
    <xf numFmtId="0" fontId="12" fillId="9" borderId="29" xfId="0" applyFont="1" applyFill="1" applyBorder="1" applyAlignment="1">
      <alignment horizontal="center" vertical="center"/>
    </xf>
    <xf numFmtId="3" fontId="13" fillId="9" borderId="29" xfId="0" applyNumberFormat="1" applyFont="1" applyFill="1" applyBorder="1" applyAlignment="1">
      <alignment horizontal="center" vertical="center"/>
    </xf>
    <xf numFmtId="1" fontId="14" fillId="6" borderId="11" xfId="0" applyNumberFormat="1" applyFont="1" applyFill="1" applyBorder="1" applyAlignment="1">
      <alignment horizontal="center" vertical="center"/>
    </xf>
    <xf numFmtId="2" fontId="18" fillId="3" borderId="1" xfId="0" applyNumberFormat="1" applyFont="1" applyFill="1" applyBorder="1" applyAlignment="1">
      <alignment horizontal="center" vertical="center"/>
    </xf>
    <xf numFmtId="1" fontId="18" fillId="3" borderId="1" xfId="0" applyNumberFormat="1" applyFont="1" applyFill="1" applyBorder="1" applyAlignment="1">
      <alignment horizontal="center" vertical="center"/>
    </xf>
    <xf numFmtId="1" fontId="21" fillId="3" borderId="1" xfId="0" applyNumberFormat="1" applyFont="1" applyFill="1" applyBorder="1" applyAlignment="1">
      <alignment horizontal="center" vertical="center"/>
    </xf>
    <xf numFmtId="2" fontId="20" fillId="3" borderId="1" xfId="0" applyNumberFormat="1" applyFont="1" applyFill="1" applyBorder="1" applyAlignment="1">
      <alignment horizontal="center" vertical="center"/>
    </xf>
    <xf numFmtId="2" fontId="17" fillId="8" borderId="1" xfId="0" applyNumberFormat="1" applyFont="1" applyFill="1" applyBorder="1" applyAlignment="1">
      <alignment horizontal="center" vertical="center"/>
    </xf>
    <xf numFmtId="3" fontId="17" fillId="8" borderId="1" xfId="0" applyNumberFormat="1" applyFont="1" applyFill="1" applyBorder="1" applyAlignment="1">
      <alignment horizontal="center" vertical="center"/>
    </xf>
    <xf numFmtId="1" fontId="18" fillId="7" borderId="1" xfId="0" applyNumberFormat="1" applyFont="1" applyFill="1" applyBorder="1" applyAlignment="1">
      <alignment horizontal="center" vertical="center"/>
    </xf>
    <xf numFmtId="0" fontId="27" fillId="8" borderId="1" xfId="0" applyFont="1" applyFill="1" applyBorder="1" applyAlignment="1">
      <alignment vertical="center"/>
    </xf>
    <xf numFmtId="0" fontId="50" fillId="0" borderId="1" xfId="0" applyFont="1" applyBorder="1" applyAlignment="1">
      <alignment horizontal="center" vertical="center"/>
    </xf>
    <xf numFmtId="0" fontId="50" fillId="7" borderId="1" xfId="0" applyFont="1" applyFill="1" applyBorder="1" applyAlignment="1">
      <alignment horizontal="center" vertical="center"/>
    </xf>
    <xf numFmtId="3" fontId="4" fillId="3" borderId="1" xfId="0" applyNumberFormat="1" applyFont="1" applyFill="1" applyBorder="1" applyAlignment="1">
      <alignment vertical="center"/>
    </xf>
    <xf numFmtId="0" fontId="0" fillId="0" borderId="1" xfId="0" applyBorder="1"/>
    <xf numFmtId="2" fontId="12" fillId="0" borderId="1" xfId="0" applyNumberFormat="1" applyFont="1" applyBorder="1" applyAlignment="1">
      <alignment vertical="center"/>
    </xf>
    <xf numFmtId="0" fontId="12" fillId="0" borderId="1" xfId="0" applyFont="1" applyBorder="1" applyAlignment="1">
      <alignment vertical="center"/>
    </xf>
    <xf numFmtId="1" fontId="14" fillId="6" borderId="1" xfId="0" applyNumberFormat="1" applyFont="1" applyFill="1" applyBorder="1" applyAlignment="1">
      <alignment horizontal="center" vertical="center"/>
    </xf>
    <xf numFmtId="3" fontId="12" fillId="0" borderId="1" xfId="0" applyNumberFormat="1" applyFont="1" applyBorder="1" applyAlignment="1">
      <alignment vertical="center"/>
    </xf>
    <xf numFmtId="3" fontId="4" fillId="14" borderId="1" xfId="0" applyNumberFormat="1" applyFont="1" applyFill="1" applyBorder="1" applyAlignment="1">
      <alignment horizontal="right" vertical="center"/>
    </xf>
    <xf numFmtId="3" fontId="4" fillId="14" borderId="1" xfId="0" applyNumberFormat="1" applyFont="1" applyFill="1" applyBorder="1" applyAlignment="1">
      <alignment horizontal="center" vertical="center"/>
    </xf>
    <xf numFmtId="3" fontId="0" fillId="0" borderId="0" xfId="0" applyNumberFormat="1"/>
    <xf numFmtId="171" fontId="0" fillId="0" borderId="0" xfId="2" applyNumberFormat="1" applyFont="1"/>
    <xf numFmtId="0" fontId="0" fillId="2" borderId="0" xfId="0" applyFill="1"/>
    <xf numFmtId="0" fontId="26" fillId="2" borderId="1" xfId="0" applyFont="1" applyFill="1" applyBorder="1" applyAlignment="1">
      <alignment horizontal="left" vertical="center"/>
    </xf>
    <xf numFmtId="0" fontId="26" fillId="2" borderId="25" xfId="0" applyFont="1" applyFill="1" applyBorder="1" applyAlignment="1">
      <alignment horizontal="left" vertical="center"/>
    </xf>
    <xf numFmtId="0" fontId="35" fillId="2" borderId="0" xfId="0" applyFont="1" applyFill="1" applyAlignment="1">
      <alignment horizontal="right" vertical="center" readingOrder="2"/>
    </xf>
    <xf numFmtId="0" fontId="0" fillId="2" borderId="0" xfId="0" applyFill="1" applyAlignment="1">
      <alignment horizontal="center" vertical="center"/>
    </xf>
    <xf numFmtId="0" fontId="0" fillId="2" borderId="45" xfId="0" applyFill="1" applyBorder="1" applyAlignment="1">
      <alignment horizontal="center" vertical="center"/>
    </xf>
    <xf numFmtId="0" fontId="37" fillId="2" borderId="46" xfId="0" applyFont="1" applyFill="1" applyBorder="1" applyAlignment="1">
      <alignment horizontal="center" vertical="center"/>
    </xf>
    <xf numFmtId="0" fontId="37" fillId="2" borderId="47" xfId="0" applyFont="1" applyFill="1" applyBorder="1" applyAlignment="1">
      <alignment horizontal="center" vertical="center"/>
    </xf>
    <xf numFmtId="0" fontId="41" fillId="2" borderId="0" xfId="0" applyFont="1" applyFill="1" applyAlignment="1">
      <alignment horizontal="center" vertical="center"/>
    </xf>
    <xf numFmtId="0" fontId="42" fillId="2" borderId="1" xfId="0" applyFont="1" applyFill="1" applyBorder="1" applyAlignment="1">
      <alignment horizontal="center" vertical="center" readingOrder="2"/>
    </xf>
    <xf numFmtId="0" fontId="0" fillId="2" borderId="0" xfId="0" applyFill="1" applyAlignment="1">
      <alignment readingOrder="2"/>
    </xf>
    <xf numFmtId="2" fontId="0" fillId="2" borderId="0" xfId="0" applyNumberFormat="1" applyFill="1"/>
    <xf numFmtId="0" fontId="1" fillId="2" borderId="0" xfId="0" quotePrefix="1" applyFont="1" applyFill="1" applyAlignment="1">
      <alignment horizontal="right" vertical="center"/>
    </xf>
    <xf numFmtId="0" fontId="0" fillId="2" borderId="0" xfId="0" quotePrefix="1" applyFill="1" applyAlignment="1">
      <alignment horizontal="right"/>
    </xf>
    <xf numFmtId="0" fontId="1" fillId="2" borderId="0" xfId="0" applyFont="1" applyFill="1" applyAlignment="1">
      <alignment horizontal="center" vertical="center"/>
    </xf>
    <xf numFmtId="0" fontId="0" fillId="2" borderId="0" xfId="0" quotePrefix="1" applyFill="1"/>
    <xf numFmtId="0" fontId="24" fillId="2" borderId="0" xfId="0" applyFont="1" applyFill="1" applyAlignment="1">
      <alignment vertical="center" readingOrder="2"/>
    </xf>
    <xf numFmtId="0" fontId="1" fillId="2" borderId="0" xfId="0" quotePrefix="1" applyFont="1" applyFill="1" applyAlignment="1">
      <alignment horizontal="center" vertical="center"/>
    </xf>
    <xf numFmtId="2" fontId="1" fillId="2" borderId="0" xfId="0" applyNumberFormat="1" applyFont="1" applyFill="1" applyAlignment="1">
      <alignment horizontal="center" vertical="center"/>
    </xf>
    <xf numFmtId="3" fontId="1" fillId="2" borderId="0" xfId="0" applyNumberFormat="1" applyFont="1" applyFill="1" applyAlignment="1">
      <alignment horizontal="center" vertical="center"/>
    </xf>
    <xf numFmtId="0" fontId="40" fillId="2" borderId="0" xfId="0" applyFont="1" applyFill="1" applyAlignment="1">
      <alignment horizontal="center" vertical="center"/>
    </xf>
    <xf numFmtId="0" fontId="0" fillId="2" borderId="30" xfId="0" applyFill="1" applyBorder="1" applyAlignment="1">
      <alignment horizontal="center" vertical="center"/>
    </xf>
    <xf numFmtId="0" fontId="0" fillId="15" borderId="0" xfId="0" applyFill="1"/>
    <xf numFmtId="3" fontId="4" fillId="15" borderId="0" xfId="0" applyNumberFormat="1" applyFont="1" applyFill="1" applyAlignment="1">
      <alignment horizontal="right" vertical="center"/>
    </xf>
    <xf numFmtId="3" fontId="4" fillId="15" borderId="0" xfId="0" applyNumberFormat="1" applyFont="1" applyFill="1" applyAlignment="1">
      <alignment vertical="center"/>
    </xf>
    <xf numFmtId="3" fontId="4" fillId="15" borderId="0" xfId="0" applyNumberFormat="1" applyFont="1" applyFill="1" applyAlignment="1">
      <alignment horizontal="center" vertical="center"/>
    </xf>
    <xf numFmtId="3" fontId="4" fillId="3" borderId="32" xfId="0" applyNumberFormat="1" applyFont="1" applyFill="1" applyBorder="1" applyAlignment="1">
      <alignment vertical="center"/>
    </xf>
    <xf numFmtId="3" fontId="4" fillId="3" borderId="32" xfId="0" applyNumberFormat="1" applyFont="1" applyFill="1" applyBorder="1" applyAlignment="1">
      <alignment horizontal="center" vertical="center"/>
    </xf>
    <xf numFmtId="3" fontId="4" fillId="3" borderId="29" xfId="0" applyNumberFormat="1" applyFont="1" applyFill="1" applyBorder="1" applyAlignment="1">
      <alignment vertical="center"/>
    </xf>
    <xf numFmtId="3" fontId="4" fillId="3" borderId="29" xfId="0" applyNumberFormat="1" applyFont="1" applyFill="1" applyBorder="1" applyAlignment="1">
      <alignment horizontal="center" vertical="center"/>
    </xf>
    <xf numFmtId="1" fontId="53" fillId="3" borderId="1" xfId="0" applyNumberFormat="1" applyFont="1" applyFill="1" applyBorder="1" applyAlignment="1">
      <alignment horizontal="center" vertical="center"/>
    </xf>
    <xf numFmtId="0" fontId="54" fillId="16" borderId="1" xfId="0" applyFont="1" applyFill="1" applyBorder="1" applyAlignment="1">
      <alignment horizontal="center" vertical="center"/>
    </xf>
    <xf numFmtId="0" fontId="19" fillId="11" borderId="45" xfId="0" applyFont="1" applyFill="1" applyBorder="1" applyAlignment="1">
      <alignment vertical="center"/>
    </xf>
    <xf numFmtId="3" fontId="45" fillId="11" borderId="46" xfId="0" applyNumberFormat="1" applyFont="1" applyFill="1" applyBorder="1" applyAlignment="1">
      <alignment horizontal="center" vertical="center"/>
    </xf>
    <xf numFmtId="0" fontId="19" fillId="11" borderId="4" xfId="0" applyFont="1" applyFill="1" applyBorder="1" applyAlignment="1">
      <alignment vertical="center"/>
    </xf>
    <xf numFmtId="3" fontId="45" fillId="11" borderId="1" xfId="0" applyNumberFormat="1" applyFont="1" applyFill="1" applyBorder="1" applyAlignment="1">
      <alignment horizontal="center" vertical="center"/>
    </xf>
    <xf numFmtId="3" fontId="19" fillId="11" borderId="4" xfId="0" applyNumberFormat="1" applyFont="1" applyFill="1" applyBorder="1" applyAlignment="1">
      <alignment vertical="center"/>
    </xf>
    <xf numFmtId="0" fontId="48" fillId="11" borderId="1" xfId="0" applyFont="1" applyFill="1" applyBorder="1" applyAlignment="1">
      <alignment horizontal="center" vertical="center"/>
    </xf>
    <xf numFmtId="0" fontId="42" fillId="11" borderId="7" xfId="0" applyFont="1" applyFill="1" applyBorder="1" applyAlignment="1">
      <alignment vertical="center" readingOrder="2"/>
    </xf>
    <xf numFmtId="3" fontId="46" fillId="11" borderId="25" xfId="0" applyNumberFormat="1" applyFont="1" applyFill="1" applyBorder="1" applyAlignment="1">
      <alignment horizontal="center" vertical="center"/>
    </xf>
    <xf numFmtId="3" fontId="46" fillId="11" borderId="1" xfId="0" applyNumberFormat="1" applyFont="1" applyFill="1" applyBorder="1" applyAlignment="1">
      <alignment horizontal="center" vertical="center"/>
    </xf>
    <xf numFmtId="0" fontId="42" fillId="11" borderId="4" xfId="0" applyFont="1" applyFill="1" applyBorder="1" applyAlignment="1">
      <alignment horizontal="right" vertical="center" readingOrder="2"/>
    </xf>
    <xf numFmtId="0" fontId="47" fillId="11" borderId="5" xfId="0" applyFont="1" applyFill="1" applyBorder="1" applyAlignment="1">
      <alignment horizontal="center" vertical="center"/>
    </xf>
    <xf numFmtId="0" fontId="48" fillId="11" borderId="25" xfId="0" applyFont="1" applyFill="1" applyBorder="1" applyAlignment="1">
      <alignment horizontal="center" vertical="center"/>
    </xf>
    <xf numFmtId="0" fontId="47" fillId="11" borderId="27" xfId="0" applyFont="1" applyFill="1" applyBorder="1" applyAlignment="1">
      <alignment horizontal="center" vertical="center"/>
    </xf>
    <xf numFmtId="0" fontId="57" fillId="11" borderId="1" xfId="0" applyFont="1" applyFill="1" applyBorder="1" applyAlignment="1">
      <alignment horizontal="center" vertical="center"/>
    </xf>
    <xf numFmtId="3" fontId="57" fillId="11" borderId="25" xfId="0" applyNumberFormat="1" applyFont="1" applyFill="1" applyBorder="1" applyAlignment="1">
      <alignment horizontal="center" vertical="center"/>
    </xf>
    <xf numFmtId="3" fontId="59" fillId="2" borderId="4" xfId="0" applyNumberFormat="1" applyFont="1" applyFill="1" applyBorder="1" applyAlignment="1">
      <alignment horizontal="center" vertical="center"/>
    </xf>
    <xf numFmtId="0" fontId="61" fillId="11" borderId="1" xfId="0" applyFont="1" applyFill="1" applyBorder="1" applyAlignment="1">
      <alignment horizontal="center" vertical="center"/>
    </xf>
    <xf numFmtId="0" fontId="43" fillId="2" borderId="46" xfId="0" applyFont="1" applyFill="1" applyBorder="1" applyAlignment="1">
      <alignment horizontal="center" vertical="center"/>
    </xf>
    <xf numFmtId="0" fontId="43" fillId="2" borderId="1" xfId="0" applyFont="1" applyFill="1" applyBorder="1" applyAlignment="1">
      <alignment horizontal="center" vertical="center"/>
    </xf>
    <xf numFmtId="0" fontId="39" fillId="12" borderId="1" xfId="0" applyFont="1" applyFill="1" applyBorder="1" applyAlignment="1">
      <alignment horizontal="center" vertical="center"/>
    </xf>
    <xf numFmtId="0" fontId="40" fillId="12" borderId="1" xfId="0" applyFont="1" applyFill="1" applyBorder="1" applyAlignment="1">
      <alignment horizontal="center" vertical="center"/>
    </xf>
    <xf numFmtId="0" fontId="52" fillId="12" borderId="1" xfId="0" applyFont="1" applyFill="1" applyBorder="1" applyAlignment="1">
      <alignment horizontal="center" vertical="center"/>
    </xf>
    <xf numFmtId="0" fontId="39" fillId="12" borderId="32" xfId="0" applyFont="1" applyFill="1" applyBorder="1" applyAlignment="1">
      <alignment horizontal="center" vertical="center"/>
    </xf>
    <xf numFmtId="169" fontId="27" fillId="12" borderId="5" xfId="0" applyNumberFormat="1" applyFont="1" applyFill="1" applyBorder="1" applyAlignment="1">
      <alignment horizontal="center" vertical="center"/>
    </xf>
    <xf numFmtId="0" fontId="27" fillId="12" borderId="5" xfId="0" applyFont="1" applyFill="1" applyBorder="1" applyAlignment="1">
      <alignment horizontal="center" vertical="center"/>
    </xf>
    <xf numFmtId="0" fontId="62" fillId="2" borderId="1" xfId="0" applyFont="1" applyFill="1" applyBorder="1" applyAlignment="1">
      <alignment horizontal="center" vertical="center"/>
    </xf>
    <xf numFmtId="0" fontId="60" fillId="11" borderId="4" xfId="0" applyFont="1" applyFill="1" applyBorder="1" applyAlignment="1">
      <alignment horizontal="right" vertical="center" wrapText="1"/>
    </xf>
    <xf numFmtId="3" fontId="22" fillId="0" borderId="1" xfId="0" applyNumberFormat="1" applyFont="1" applyBorder="1" applyAlignment="1">
      <alignment horizontal="center" vertical="center"/>
    </xf>
    <xf numFmtId="3" fontId="15" fillId="0" borderId="0" xfId="0" applyNumberFormat="1" applyFont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0" fillId="12" borderId="0" xfId="0" applyFill="1" applyAlignment="1">
      <alignment horizontal="center" vertical="center"/>
    </xf>
    <xf numFmtId="0" fontId="0" fillId="13" borderId="0" xfId="0" applyFill="1" applyAlignment="1">
      <alignment horizontal="center" vertical="center"/>
    </xf>
    <xf numFmtId="3" fontId="0" fillId="12" borderId="0" xfId="0" applyNumberFormat="1" applyFill="1" applyAlignment="1">
      <alignment horizontal="center" vertical="center"/>
    </xf>
    <xf numFmtId="3" fontId="0" fillId="11" borderId="0" xfId="0" applyNumberFormat="1" applyFill="1" applyAlignment="1">
      <alignment horizontal="center" vertical="center"/>
    </xf>
    <xf numFmtId="3" fontId="0" fillId="13" borderId="0" xfId="0" applyNumberFormat="1" applyFill="1" applyAlignment="1">
      <alignment horizontal="center" vertical="center"/>
    </xf>
    <xf numFmtId="3" fontId="9" fillId="2" borderId="8" xfId="0" applyNumberFormat="1" applyFont="1" applyFill="1" applyBorder="1" applyAlignment="1">
      <alignment horizontal="center" vertical="center"/>
    </xf>
    <xf numFmtId="3" fontId="9" fillId="2" borderId="9" xfId="0" applyNumberFormat="1" applyFont="1" applyFill="1" applyBorder="1" applyAlignment="1">
      <alignment horizontal="center" vertical="center"/>
    </xf>
    <xf numFmtId="3" fontId="9" fillId="2" borderId="10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3" fontId="4" fillId="3" borderId="1" xfId="0" applyNumberFormat="1" applyFont="1" applyFill="1" applyBorder="1" applyAlignment="1">
      <alignment horizontal="right" vertical="center"/>
    </xf>
    <xf numFmtId="3" fontId="4" fillId="3" borderId="29" xfId="0" applyNumberFormat="1" applyFont="1" applyFill="1" applyBorder="1" applyAlignment="1">
      <alignment horizontal="center" vertical="center"/>
    </xf>
    <xf numFmtId="3" fontId="4" fillId="3" borderId="1" xfId="0" applyNumberFormat="1" applyFont="1" applyFill="1" applyBorder="1" applyAlignment="1">
      <alignment horizontal="center" vertical="center"/>
    </xf>
    <xf numFmtId="3" fontId="51" fillId="7" borderId="8" xfId="0" applyNumberFormat="1" applyFont="1" applyFill="1" applyBorder="1" applyAlignment="1">
      <alignment horizontal="center" vertical="center"/>
    </xf>
    <xf numFmtId="3" fontId="51" fillId="7" borderId="10" xfId="0" applyNumberFormat="1" applyFont="1" applyFill="1" applyBorder="1" applyAlignment="1">
      <alignment horizontal="center" vertical="center"/>
    </xf>
    <xf numFmtId="3" fontId="4" fillId="3" borderId="32" xfId="0" applyNumberFormat="1" applyFont="1" applyFill="1" applyBorder="1" applyAlignment="1">
      <alignment horizontal="center" vertical="center"/>
    </xf>
    <xf numFmtId="3" fontId="12" fillId="0" borderId="1" xfId="0" applyNumberFormat="1" applyFont="1" applyBorder="1" applyAlignment="1">
      <alignment horizontal="left" vertical="center"/>
    </xf>
    <xf numFmtId="0" fontId="26" fillId="0" borderId="0" xfId="0" applyFont="1" applyAlignment="1">
      <alignment horizontal="right" wrapText="1" readingOrder="2"/>
    </xf>
    <xf numFmtId="0" fontId="43" fillId="2" borderId="0" xfId="0" applyFont="1" applyFill="1" applyAlignment="1">
      <alignment horizontal="center" vertical="center" readingOrder="2"/>
    </xf>
    <xf numFmtId="0" fontId="43" fillId="2" borderId="30" xfId="0" applyFont="1" applyFill="1" applyBorder="1" applyAlignment="1">
      <alignment horizontal="center" vertical="center" readingOrder="2"/>
    </xf>
    <xf numFmtId="0" fontId="49" fillId="0" borderId="0" xfId="0" applyFont="1" applyAlignment="1">
      <alignment horizontal="right" vertical="center" wrapText="1" readingOrder="2"/>
    </xf>
    <xf numFmtId="3" fontId="49" fillId="0" borderId="0" xfId="0" applyNumberFormat="1" applyFont="1" applyAlignment="1">
      <alignment horizontal="right" vertical="center" wrapText="1" readingOrder="2"/>
    </xf>
    <xf numFmtId="0" fontId="26" fillId="0" borderId="0" xfId="0" applyFont="1" applyAlignment="1">
      <alignment horizontal="right" vertical="center"/>
    </xf>
    <xf numFmtId="0" fontId="26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/>
    </xf>
    <xf numFmtId="3" fontId="42" fillId="0" borderId="9" xfId="0" applyNumberFormat="1" applyFont="1" applyBorder="1" applyAlignment="1">
      <alignment horizontal="left" vertical="center" readingOrder="1"/>
    </xf>
    <xf numFmtId="3" fontId="42" fillId="0" borderId="10" xfId="0" applyNumberFormat="1" applyFont="1" applyBorder="1" applyAlignment="1">
      <alignment horizontal="left" vertical="center" readingOrder="1"/>
    </xf>
    <xf numFmtId="3" fontId="42" fillId="0" borderId="28" xfId="0" applyNumberFormat="1" applyFont="1" applyBorder="1" applyAlignment="1">
      <alignment horizontal="left" vertical="center" readingOrder="2"/>
    </xf>
    <xf numFmtId="3" fontId="42" fillId="0" borderId="49" xfId="0" applyNumberFormat="1" applyFont="1" applyBorder="1" applyAlignment="1">
      <alignment horizontal="left" vertical="center" readingOrder="2"/>
    </xf>
    <xf numFmtId="3" fontId="42" fillId="0" borderId="32" xfId="0" applyNumberFormat="1" applyFont="1" applyBorder="1" applyAlignment="1">
      <alignment horizontal="center" vertical="center" readingOrder="2"/>
    </xf>
    <xf numFmtId="3" fontId="42" fillId="0" borderId="29" xfId="0" applyNumberFormat="1" applyFont="1" applyBorder="1" applyAlignment="1">
      <alignment horizontal="center" vertical="center" readingOrder="2"/>
    </xf>
    <xf numFmtId="167" fontId="42" fillId="0" borderId="41" xfId="0" applyNumberFormat="1" applyFont="1" applyBorder="1" applyAlignment="1">
      <alignment horizontal="center" vertical="center" readingOrder="2"/>
    </xf>
    <xf numFmtId="167" fontId="42" fillId="0" borderId="42" xfId="0" applyNumberFormat="1" applyFont="1" applyBorder="1" applyAlignment="1">
      <alignment horizontal="center" vertical="center" readingOrder="2"/>
    </xf>
    <xf numFmtId="0" fontId="42" fillId="0" borderId="37" xfId="0" applyFont="1" applyBorder="1" applyAlignment="1">
      <alignment horizontal="center" vertical="center" readingOrder="2"/>
    </xf>
    <xf numFmtId="0" fontId="42" fillId="0" borderId="44" xfId="0" applyFont="1" applyBorder="1" applyAlignment="1">
      <alignment horizontal="center" vertical="center" readingOrder="2"/>
    </xf>
    <xf numFmtId="0" fontId="42" fillId="0" borderId="38" xfId="0" applyFont="1" applyBorder="1" applyAlignment="1">
      <alignment horizontal="center" vertical="center" readingOrder="2"/>
    </xf>
    <xf numFmtId="0" fontId="42" fillId="0" borderId="48" xfId="0" applyFont="1" applyBorder="1" applyAlignment="1">
      <alignment horizontal="center" vertical="center" readingOrder="2"/>
    </xf>
    <xf numFmtId="0" fontId="42" fillId="0" borderId="28" xfId="0" applyFont="1" applyBorder="1" applyAlignment="1">
      <alignment horizontal="center" vertical="center" readingOrder="2"/>
    </xf>
    <xf numFmtId="0" fontId="42" fillId="0" borderId="49" xfId="0" applyFont="1" applyBorder="1" applyAlignment="1">
      <alignment horizontal="center" vertical="center" readingOrder="2"/>
    </xf>
    <xf numFmtId="0" fontId="42" fillId="0" borderId="32" xfId="0" applyFont="1" applyBorder="1" applyAlignment="1">
      <alignment horizontal="center" vertical="center" readingOrder="2"/>
    </xf>
    <xf numFmtId="0" fontId="42" fillId="0" borderId="29" xfId="0" applyFont="1" applyBorder="1" applyAlignment="1">
      <alignment horizontal="center" vertical="center" readingOrder="2"/>
    </xf>
    <xf numFmtId="166" fontId="42" fillId="0" borderId="37" xfId="0" applyNumberFormat="1" applyFont="1" applyBorder="1" applyAlignment="1">
      <alignment horizontal="center" vertical="center" readingOrder="2"/>
    </xf>
    <xf numFmtId="166" fontId="42" fillId="0" borderId="38" xfId="0" applyNumberFormat="1" applyFont="1" applyBorder="1" applyAlignment="1">
      <alignment horizontal="center" vertical="center" readingOrder="2"/>
    </xf>
    <xf numFmtId="166" fontId="42" fillId="0" borderId="48" xfId="0" applyNumberFormat="1" applyFont="1" applyBorder="1" applyAlignment="1">
      <alignment horizontal="center" vertical="center" readingOrder="2"/>
    </xf>
    <xf numFmtId="166" fontId="42" fillId="0" borderId="49" xfId="0" applyNumberFormat="1" applyFont="1" applyBorder="1" applyAlignment="1">
      <alignment horizontal="center" vertical="center" readingOrder="2"/>
    </xf>
    <xf numFmtId="3" fontId="42" fillId="0" borderId="8" xfId="0" applyNumberFormat="1" applyFont="1" applyBorder="1" applyAlignment="1">
      <alignment horizontal="left" vertical="center" readingOrder="1"/>
    </xf>
    <xf numFmtId="0" fontId="42" fillId="2" borderId="32" xfId="0" applyFont="1" applyFill="1" applyBorder="1" applyAlignment="1">
      <alignment horizontal="center" vertical="center" readingOrder="2"/>
    </xf>
    <xf numFmtId="0" fontId="42" fillId="2" borderId="29" xfId="0" applyFont="1" applyFill="1" applyBorder="1" applyAlignment="1">
      <alignment horizontal="center" vertical="center" readingOrder="2"/>
    </xf>
    <xf numFmtId="0" fontId="42" fillId="0" borderId="34" xfId="0" applyFont="1" applyBorder="1" applyAlignment="1">
      <alignment horizontal="center" vertical="center" readingOrder="2"/>
    </xf>
    <xf numFmtId="0" fontId="42" fillId="0" borderId="35" xfId="0" applyFont="1" applyBorder="1" applyAlignment="1">
      <alignment horizontal="center" vertical="center" readingOrder="2"/>
    </xf>
    <xf numFmtId="0" fontId="42" fillId="2" borderId="1" xfId="0" applyFont="1" applyFill="1" applyBorder="1" applyAlignment="1">
      <alignment horizontal="center" vertical="center" readingOrder="2"/>
    </xf>
    <xf numFmtId="0" fontId="42" fillId="0" borderId="8" xfId="0" applyFont="1" applyBorder="1" applyAlignment="1">
      <alignment horizontal="right" vertical="center" readingOrder="2"/>
    </xf>
    <xf numFmtId="0" fontId="42" fillId="0" borderId="9" xfId="0" applyFont="1" applyBorder="1" applyAlignment="1">
      <alignment horizontal="right" vertical="center" readingOrder="2"/>
    </xf>
    <xf numFmtId="0" fontId="42" fillId="0" borderId="10" xfId="0" applyFont="1" applyBorder="1" applyAlignment="1">
      <alignment horizontal="right" vertical="center" readingOrder="2"/>
    </xf>
    <xf numFmtId="167" fontId="42" fillId="0" borderId="56" xfId="0" applyNumberFormat="1" applyFont="1" applyBorder="1" applyAlignment="1">
      <alignment horizontal="center" vertical="center" readingOrder="2"/>
    </xf>
    <xf numFmtId="167" fontId="42" fillId="0" borderId="57" xfId="0" applyNumberFormat="1" applyFont="1" applyBorder="1" applyAlignment="1">
      <alignment horizontal="center" vertical="center" readingOrder="2"/>
    </xf>
    <xf numFmtId="0" fontId="62" fillId="12" borderId="1" xfId="0" applyFont="1" applyFill="1" applyBorder="1" applyAlignment="1">
      <alignment horizontal="center" vertical="center"/>
    </xf>
    <xf numFmtId="173" fontId="27" fillId="12" borderId="1" xfId="0" applyNumberFormat="1" applyFont="1" applyFill="1" applyBorder="1" applyAlignment="1">
      <alignment horizontal="center" vertical="center"/>
    </xf>
    <xf numFmtId="172" fontId="27" fillId="12" borderId="1" xfId="0" applyNumberFormat="1" applyFont="1" applyFill="1" applyBorder="1" applyAlignment="1">
      <alignment horizontal="center" vertical="center"/>
    </xf>
    <xf numFmtId="3" fontId="57" fillId="11" borderId="1" xfId="0" applyNumberFormat="1" applyFont="1" applyFill="1" applyBorder="1" applyAlignment="1">
      <alignment horizontal="center" vertical="center"/>
    </xf>
    <xf numFmtId="0" fontId="58" fillId="11" borderId="25" xfId="0" applyFont="1" applyFill="1" applyBorder="1" applyAlignment="1">
      <alignment horizontal="center" vertical="center"/>
    </xf>
    <xf numFmtId="0" fontId="52" fillId="12" borderId="5" xfId="0" applyFont="1" applyFill="1" applyBorder="1" applyAlignment="1">
      <alignment horizontal="center" vertical="center" wrapText="1"/>
    </xf>
    <xf numFmtId="0" fontId="52" fillId="12" borderId="52" xfId="0" applyFont="1" applyFill="1" applyBorder="1" applyAlignment="1">
      <alignment horizontal="center" vertical="center" wrapText="1"/>
    </xf>
    <xf numFmtId="0" fontId="43" fillId="12" borderId="1" xfId="0" applyFont="1" applyFill="1" applyBorder="1" applyAlignment="1">
      <alignment horizontal="center" vertical="center"/>
    </xf>
    <xf numFmtId="0" fontId="43" fillId="12" borderId="5" xfId="0" applyFont="1" applyFill="1" applyBorder="1" applyAlignment="1">
      <alignment horizontal="center" vertical="center"/>
    </xf>
    <xf numFmtId="0" fontId="42" fillId="0" borderId="54" xfId="0" applyFont="1" applyBorder="1" applyAlignment="1">
      <alignment horizontal="center" vertical="center" readingOrder="2"/>
    </xf>
    <xf numFmtId="0" fontId="42" fillId="0" borderId="55" xfId="0" applyFont="1" applyBorder="1" applyAlignment="1">
      <alignment horizontal="center" vertical="center" readingOrder="2"/>
    </xf>
    <xf numFmtId="0" fontId="38" fillId="0" borderId="0" xfId="0" applyFont="1" applyAlignment="1">
      <alignment horizontal="center" vertical="top"/>
    </xf>
    <xf numFmtId="0" fontId="38" fillId="0" borderId="28" xfId="0" applyFont="1" applyBorder="1" applyAlignment="1">
      <alignment horizontal="center" vertical="top"/>
    </xf>
    <xf numFmtId="0" fontId="42" fillId="0" borderId="8" xfId="0" applyFont="1" applyBorder="1" applyAlignment="1">
      <alignment horizontal="center" vertical="center"/>
    </xf>
    <xf numFmtId="0" fontId="42" fillId="0" borderId="9" xfId="0" applyFont="1" applyBorder="1" applyAlignment="1">
      <alignment horizontal="center" vertical="center"/>
    </xf>
    <xf numFmtId="0" fontId="42" fillId="0" borderId="8" xfId="0" applyFont="1" applyBorder="1" applyAlignment="1">
      <alignment horizontal="center" vertical="center" readingOrder="2"/>
    </xf>
    <xf numFmtId="0" fontId="42" fillId="0" borderId="9" xfId="0" applyFont="1" applyBorder="1" applyAlignment="1">
      <alignment horizontal="center" vertical="center" readingOrder="2"/>
    </xf>
    <xf numFmtId="0" fontId="42" fillId="0" borderId="31" xfId="0" applyFont="1" applyBorder="1" applyAlignment="1">
      <alignment horizontal="center" vertical="center" readingOrder="2"/>
    </xf>
    <xf numFmtId="0" fontId="42" fillId="0" borderId="30" xfId="0" applyFont="1" applyBorder="1" applyAlignment="1">
      <alignment horizontal="center" vertical="center" readingOrder="2"/>
    </xf>
    <xf numFmtId="0" fontId="42" fillId="2" borderId="39" xfId="0" applyFont="1" applyFill="1" applyBorder="1" applyAlignment="1">
      <alignment horizontal="center" vertical="center" readingOrder="2"/>
    </xf>
    <xf numFmtId="0" fontId="42" fillId="0" borderId="39" xfId="0" applyFont="1" applyBorder="1" applyAlignment="1">
      <alignment horizontal="center" vertical="center" readingOrder="2"/>
    </xf>
    <xf numFmtId="0" fontId="42" fillId="0" borderId="34" xfId="0" applyFont="1" applyBorder="1" applyAlignment="1">
      <alignment horizontal="center" vertical="center" readingOrder="1"/>
    </xf>
    <xf numFmtId="0" fontId="42" fillId="0" borderId="35" xfId="0" applyFont="1" applyBorder="1" applyAlignment="1">
      <alignment horizontal="center" vertical="center" readingOrder="1"/>
    </xf>
    <xf numFmtId="166" fontId="42" fillId="0" borderId="31" xfId="0" applyNumberFormat="1" applyFont="1" applyBorder="1" applyAlignment="1">
      <alignment horizontal="center" vertical="center" readingOrder="2"/>
    </xf>
    <xf numFmtId="166" fontId="42" fillId="0" borderId="30" xfId="0" applyNumberFormat="1" applyFont="1" applyBorder="1" applyAlignment="1">
      <alignment horizontal="center" vertical="center" readingOrder="2"/>
    </xf>
    <xf numFmtId="3" fontId="42" fillId="0" borderId="39" xfId="0" applyNumberFormat="1" applyFont="1" applyBorder="1" applyAlignment="1">
      <alignment horizontal="center" vertical="center" readingOrder="2"/>
    </xf>
    <xf numFmtId="0" fontId="42" fillId="0" borderId="0" xfId="0" applyFont="1" applyAlignment="1">
      <alignment horizontal="center" vertical="center" readingOrder="2"/>
    </xf>
    <xf numFmtId="0" fontId="42" fillId="0" borderId="37" xfId="0" applyFont="1" applyBorder="1" applyAlignment="1">
      <alignment horizontal="center" vertical="top" readingOrder="2"/>
    </xf>
    <xf numFmtId="0" fontId="42" fillId="0" borderId="44" xfId="0" applyFont="1" applyBorder="1" applyAlignment="1">
      <alignment horizontal="center" vertical="top" readingOrder="2"/>
    </xf>
    <xf numFmtId="0" fontId="42" fillId="0" borderId="38" xfId="0" applyFont="1" applyBorder="1" applyAlignment="1">
      <alignment horizontal="center" vertical="top" readingOrder="2"/>
    </xf>
    <xf numFmtId="0" fontId="26" fillId="2" borderId="6" xfId="0" applyFont="1" applyFill="1" applyBorder="1" applyAlignment="1">
      <alignment horizontal="center" vertical="center"/>
    </xf>
    <xf numFmtId="0" fontId="26" fillId="2" borderId="18" xfId="0" applyFont="1" applyFill="1" applyBorder="1" applyAlignment="1">
      <alignment horizontal="center" vertical="center"/>
    </xf>
    <xf numFmtId="0" fontId="43" fillId="2" borderId="46" xfId="0" applyFont="1" applyFill="1" applyBorder="1" applyAlignment="1">
      <alignment horizontal="right" vertical="center"/>
    </xf>
    <xf numFmtId="0" fontId="43" fillId="2" borderId="47" xfId="0" applyFont="1" applyFill="1" applyBorder="1" applyAlignment="1">
      <alignment horizontal="right" vertical="center"/>
    </xf>
    <xf numFmtId="0" fontId="30" fillId="2" borderId="21" xfId="0" applyFont="1" applyFill="1" applyBorder="1" applyAlignment="1">
      <alignment horizontal="center" vertical="center"/>
    </xf>
    <xf numFmtId="0" fontId="30" fillId="2" borderId="10" xfId="0" applyFont="1" applyFill="1" applyBorder="1" applyAlignment="1">
      <alignment horizontal="center" vertical="center"/>
    </xf>
    <xf numFmtId="0" fontId="32" fillId="2" borderId="21" xfId="0" applyFont="1" applyFill="1" applyBorder="1" applyAlignment="1">
      <alignment horizontal="center" vertical="center"/>
    </xf>
    <xf numFmtId="0" fontId="32" fillId="2" borderId="10" xfId="0" applyFont="1" applyFill="1" applyBorder="1" applyAlignment="1">
      <alignment horizontal="center" vertical="center"/>
    </xf>
    <xf numFmtId="0" fontId="36" fillId="2" borderId="3" xfId="0" applyFont="1" applyFill="1" applyBorder="1" applyAlignment="1">
      <alignment horizontal="center" vertical="center"/>
    </xf>
    <xf numFmtId="0" fontId="36" fillId="2" borderId="23" xfId="0" applyFont="1" applyFill="1" applyBorder="1" applyAlignment="1">
      <alignment horizontal="center" vertical="center"/>
    </xf>
    <xf numFmtId="0" fontId="50" fillId="12" borderId="46" xfId="0" applyFont="1" applyFill="1" applyBorder="1" applyAlignment="1">
      <alignment horizontal="center" vertical="center"/>
    </xf>
    <xf numFmtId="2" fontId="63" fillId="17" borderId="37" xfId="0" applyNumberFormat="1" applyFont="1" applyFill="1" applyBorder="1" applyAlignment="1">
      <alignment horizontal="right" vertical="center" wrapText="1" readingOrder="2"/>
    </xf>
    <xf numFmtId="2" fontId="63" fillId="17" borderId="44" xfId="0" applyNumberFormat="1" applyFont="1" applyFill="1" applyBorder="1" applyAlignment="1">
      <alignment horizontal="right" vertical="center" wrapText="1" readingOrder="2"/>
    </xf>
    <xf numFmtId="2" fontId="63" fillId="17" borderId="62" xfId="0" applyNumberFormat="1" applyFont="1" applyFill="1" applyBorder="1" applyAlignment="1">
      <alignment horizontal="right" vertical="center" wrapText="1" readingOrder="2"/>
    </xf>
    <xf numFmtId="2" fontId="63" fillId="17" borderId="31" xfId="0" applyNumberFormat="1" applyFont="1" applyFill="1" applyBorder="1" applyAlignment="1">
      <alignment horizontal="right" vertical="center" wrapText="1" readingOrder="2"/>
    </xf>
    <xf numFmtId="2" fontId="63" fillId="17" borderId="0" xfId="0" applyNumberFormat="1" applyFont="1" applyFill="1" applyAlignment="1">
      <alignment horizontal="right" vertical="center" wrapText="1" readingOrder="2"/>
    </xf>
    <xf numFmtId="2" fontId="63" fillId="17" borderId="63" xfId="0" applyNumberFormat="1" applyFont="1" applyFill="1" applyBorder="1" applyAlignment="1">
      <alignment horizontal="right" vertical="center" wrapText="1" readingOrder="2"/>
    </xf>
    <xf numFmtId="2" fontId="63" fillId="17" borderId="58" xfId="0" applyNumberFormat="1" applyFont="1" applyFill="1" applyBorder="1" applyAlignment="1">
      <alignment horizontal="right" vertical="center" wrapText="1" readingOrder="2"/>
    </xf>
    <xf numFmtId="2" fontId="63" fillId="17" borderId="60" xfId="0" applyNumberFormat="1" applyFont="1" applyFill="1" applyBorder="1" applyAlignment="1">
      <alignment horizontal="right" vertical="center" wrapText="1" readingOrder="2"/>
    </xf>
    <xf numFmtId="2" fontId="63" fillId="17" borderId="61" xfId="0" applyNumberFormat="1" applyFont="1" applyFill="1" applyBorder="1" applyAlignment="1">
      <alignment horizontal="right" vertical="center" wrapText="1" readingOrder="2"/>
    </xf>
    <xf numFmtId="0" fontId="56" fillId="16" borderId="14" xfId="0" applyFont="1" applyFill="1" applyBorder="1" applyAlignment="1">
      <alignment horizontal="center" vertical="center" readingOrder="2"/>
    </xf>
    <xf numFmtId="0" fontId="56" fillId="16" borderId="15" xfId="0" applyFont="1" applyFill="1" applyBorder="1" applyAlignment="1">
      <alignment horizontal="center" vertical="center" readingOrder="2"/>
    </xf>
    <xf numFmtId="0" fontId="56" fillId="16" borderId="16" xfId="0" applyFont="1" applyFill="1" applyBorder="1" applyAlignment="1">
      <alignment horizontal="center" vertical="center" readingOrder="2"/>
    </xf>
    <xf numFmtId="3" fontId="25" fillId="8" borderId="0" xfId="0" applyNumberFormat="1" applyFont="1" applyFill="1" applyAlignment="1">
      <alignment horizontal="center"/>
    </xf>
    <xf numFmtId="0" fontId="26" fillId="2" borderId="17" xfId="0" applyFont="1" applyFill="1" applyBorder="1" applyAlignment="1">
      <alignment horizontal="center" vertical="center"/>
    </xf>
    <xf numFmtId="0" fontId="26" fillId="2" borderId="19" xfId="0" applyFont="1" applyFill="1" applyBorder="1" applyAlignment="1">
      <alignment horizontal="center"/>
    </xf>
    <xf numFmtId="0" fontId="26" fillId="2" borderId="17" xfId="0" applyFont="1" applyFill="1" applyBorder="1" applyAlignment="1">
      <alignment horizontal="center"/>
    </xf>
    <xf numFmtId="0" fontId="26" fillId="2" borderId="20" xfId="0" applyFont="1" applyFill="1" applyBorder="1" applyAlignment="1">
      <alignment horizontal="center"/>
    </xf>
    <xf numFmtId="0" fontId="26" fillId="2" borderId="21" xfId="0" applyFont="1" applyFill="1" applyBorder="1" applyAlignment="1">
      <alignment horizontal="center"/>
    </xf>
    <xf numFmtId="0" fontId="26" fillId="2" borderId="10" xfId="0" applyFont="1" applyFill="1" applyBorder="1" applyAlignment="1">
      <alignment horizontal="center"/>
    </xf>
    <xf numFmtId="0" fontId="27" fillId="2" borderId="8" xfId="0" applyFont="1" applyFill="1" applyBorder="1" applyAlignment="1">
      <alignment horizontal="center" vertical="center"/>
    </xf>
    <xf numFmtId="0" fontId="27" fillId="2" borderId="10" xfId="0" applyFont="1" applyFill="1" applyBorder="1" applyAlignment="1">
      <alignment horizontal="center" vertical="center"/>
    </xf>
    <xf numFmtId="0" fontId="27" fillId="2" borderId="22" xfId="0" applyFont="1" applyFill="1" applyBorder="1" applyAlignment="1">
      <alignment horizontal="center" vertical="center"/>
    </xf>
    <xf numFmtId="0" fontId="26" fillId="2" borderId="3" xfId="0" applyFont="1" applyFill="1" applyBorder="1" applyAlignment="1">
      <alignment horizontal="center" vertical="center" readingOrder="2"/>
    </xf>
    <xf numFmtId="0" fontId="26" fillId="2" borderId="23" xfId="0" applyFont="1" applyFill="1" applyBorder="1" applyAlignment="1">
      <alignment horizontal="center" vertical="center" readingOrder="2"/>
    </xf>
    <xf numFmtId="49" fontId="27" fillId="2" borderId="24" xfId="0" applyNumberFormat="1" applyFont="1" applyFill="1" applyBorder="1" applyAlignment="1">
      <alignment horizontal="center" vertical="center"/>
    </xf>
    <xf numFmtId="49" fontId="27" fillId="2" borderId="23" xfId="0" applyNumberFormat="1" applyFont="1" applyFill="1" applyBorder="1" applyAlignment="1">
      <alignment horizontal="center" vertical="center"/>
    </xf>
    <xf numFmtId="0" fontId="28" fillId="2" borderId="24" xfId="0" applyFont="1" applyFill="1" applyBorder="1" applyAlignment="1">
      <alignment horizontal="center" vertical="center"/>
    </xf>
    <xf numFmtId="0" fontId="28" fillId="2" borderId="26" xfId="0" applyFont="1" applyFill="1" applyBorder="1" applyAlignment="1">
      <alignment horizontal="center" vertical="center"/>
    </xf>
    <xf numFmtId="0" fontId="29" fillId="2" borderId="12" xfId="0" applyFont="1" applyFill="1" applyBorder="1" applyAlignment="1">
      <alignment horizontal="center" vertical="center" wrapText="1" readingOrder="2"/>
    </xf>
    <xf numFmtId="0" fontId="29" fillId="2" borderId="13" xfId="0" applyFont="1" applyFill="1" applyBorder="1" applyAlignment="1">
      <alignment horizontal="center" vertical="center" wrapText="1" readingOrder="2"/>
    </xf>
    <xf numFmtId="0" fontId="29" fillId="2" borderId="59" xfId="0" applyFont="1" applyFill="1" applyBorder="1" applyAlignment="1">
      <alignment horizontal="center" vertical="center" wrapText="1" readingOrder="2"/>
    </xf>
    <xf numFmtId="0" fontId="43" fillId="2" borderId="46" xfId="0" applyFont="1" applyFill="1" applyBorder="1" applyAlignment="1">
      <alignment horizontal="center" vertical="center"/>
    </xf>
    <xf numFmtId="0" fontId="55" fillId="2" borderId="19" xfId="0" applyFont="1" applyFill="1" applyBorder="1" applyAlignment="1">
      <alignment horizontal="center" vertical="center"/>
    </xf>
    <xf numFmtId="0" fontId="55" fillId="2" borderId="20" xfId="0" applyFont="1" applyFill="1" applyBorder="1" applyAlignment="1">
      <alignment horizontal="center" vertical="center"/>
    </xf>
  </cellXfs>
  <cellStyles count="3">
    <cellStyle name="Comma" xfId="2" builtinId="3"/>
    <cellStyle name="Normal" xfId="0" builtinId="0"/>
    <cellStyle name="Percent" xfId="1" builtinId="5"/>
  </cellStyles>
  <dxfs count="13">
    <dxf>
      <font>
        <color theme="0"/>
      </font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164-4F24-9135-CCF2C39FF6C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164-4F24-9135-CCF2C39FF6C4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164-4F24-9135-CCF2C39FF6C4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C164-4F24-9135-CCF2C39FF6C4}"/>
              </c:ext>
            </c:extLst>
          </c:dPt>
          <c:cat>
            <c:multiLvlStrRef>
              <c:f>'S1'!$I$3:$J$6</c:f>
              <c:multiLvlStrCache>
                <c:ptCount val="4"/>
                <c:lvl>
                  <c:pt idx="0">
                    <c:v>Aluminum</c:v>
                  </c:pt>
                  <c:pt idx="1">
                    <c:v>Motor&amp;Jack</c:v>
                  </c:pt>
                  <c:pt idx="2">
                    <c:v>Powder Coating</c:v>
                  </c:pt>
                  <c:pt idx="3">
                    <c:v>Other</c:v>
                  </c:pt>
                </c:lvl>
                <c:lvl>
                  <c:pt idx="0">
                    <c:v>1%</c:v>
                  </c:pt>
                  <c:pt idx="1">
                    <c:v>67%</c:v>
                  </c:pt>
                  <c:pt idx="2">
                    <c:v>4%</c:v>
                  </c:pt>
                  <c:pt idx="3">
                    <c:v>28%</c:v>
                  </c:pt>
                </c:lvl>
              </c:multiLvlStrCache>
            </c:multiLvlStrRef>
          </c:cat>
          <c:val>
            <c:numRef>
              <c:f>'S1'!$K$3:$K$6</c:f>
              <c:numCache>
                <c:formatCode>0%</c:formatCode>
                <c:ptCount val="4"/>
                <c:pt idx="0">
                  <c:v>1.1216953130392766E-2</c:v>
                </c:pt>
                <c:pt idx="1">
                  <c:v>0.67301718782356601</c:v>
                </c:pt>
                <c:pt idx="2">
                  <c:v>3.8090184303168358E-2</c:v>
                </c:pt>
                <c:pt idx="3">
                  <c:v>0.27767567474287291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7C9-4776-999A-5B1F2DCE6F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F5D-432A-B051-469FBB28844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F5D-432A-B051-469FBB28844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9F5D-432A-B051-469FBB28844A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9F5D-432A-B051-469FBB28844A}"/>
              </c:ext>
            </c:extLst>
          </c:dPt>
          <c:cat>
            <c:multiLvlStrRef>
              <c:f>'S2'!$I$3:$J$6</c:f>
              <c:multiLvlStrCache>
                <c:ptCount val="4"/>
                <c:lvl>
                  <c:pt idx="0">
                    <c:v>Aluminum</c:v>
                  </c:pt>
                  <c:pt idx="1">
                    <c:v>Motor&amp;Jack</c:v>
                  </c:pt>
                  <c:pt idx="2">
                    <c:v>Powder Coating</c:v>
                  </c:pt>
                  <c:pt idx="3">
                    <c:v>Other</c:v>
                  </c:pt>
                </c:lvl>
                <c:lvl>
                  <c:pt idx="0">
                    <c:v>1%</c:v>
                  </c:pt>
                  <c:pt idx="1">
                    <c:v>67%</c:v>
                  </c:pt>
                  <c:pt idx="2">
                    <c:v>4%</c:v>
                  </c:pt>
                  <c:pt idx="3">
                    <c:v>28%</c:v>
                  </c:pt>
                </c:lvl>
              </c:multiLvlStrCache>
            </c:multiLvlStrRef>
          </c:cat>
          <c:val>
            <c:numRef>
              <c:f>'S2'!$K$3:$K$6</c:f>
              <c:numCache>
                <c:formatCode>0%</c:formatCode>
                <c:ptCount val="4"/>
                <c:pt idx="0">
                  <c:v>1.1216953130392766E-2</c:v>
                </c:pt>
                <c:pt idx="1">
                  <c:v>0.67301718782356601</c:v>
                </c:pt>
                <c:pt idx="2">
                  <c:v>3.8090184303168358E-2</c:v>
                </c:pt>
                <c:pt idx="3">
                  <c:v>0.27767567474287291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9F5D-432A-B051-469FBB2884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D82-439C-9856-7D0D2ED3A08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D82-439C-9856-7D0D2ED3A08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D82-439C-9856-7D0D2ED3A081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D82-439C-9856-7D0D2ED3A081}"/>
              </c:ext>
            </c:extLst>
          </c:dPt>
          <c:cat>
            <c:multiLvlStrRef>
              <c:f>'S3'!$I$3:$J$6</c:f>
              <c:multiLvlStrCache>
                <c:ptCount val="4"/>
                <c:lvl>
                  <c:pt idx="0">
                    <c:v>Aluminum</c:v>
                  </c:pt>
                  <c:pt idx="1">
                    <c:v>Motor&amp;Jack</c:v>
                  </c:pt>
                  <c:pt idx="2">
                    <c:v>Powder Coating</c:v>
                  </c:pt>
                  <c:pt idx="3">
                    <c:v>Other</c:v>
                  </c:pt>
                </c:lvl>
                <c:lvl>
                  <c:pt idx="0">
                    <c:v>1%</c:v>
                  </c:pt>
                  <c:pt idx="1">
                    <c:v>67%</c:v>
                  </c:pt>
                  <c:pt idx="2">
                    <c:v>4%</c:v>
                  </c:pt>
                  <c:pt idx="3">
                    <c:v>28%</c:v>
                  </c:pt>
                </c:lvl>
              </c:multiLvlStrCache>
            </c:multiLvlStrRef>
          </c:cat>
          <c:val>
            <c:numRef>
              <c:f>'S3'!$K$3:$K$6</c:f>
              <c:numCache>
                <c:formatCode>0%</c:formatCode>
                <c:ptCount val="4"/>
                <c:pt idx="0">
                  <c:v>1.1216953130392766E-2</c:v>
                </c:pt>
                <c:pt idx="1">
                  <c:v>0.67301718782356601</c:v>
                </c:pt>
                <c:pt idx="2">
                  <c:v>3.8090184303168358E-2</c:v>
                </c:pt>
                <c:pt idx="3">
                  <c:v>0.27767567474287291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6D82-439C-9856-7D0D2ED3A08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F92-49A2-888F-6282D9EE9CC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F92-49A2-888F-6282D9EE9CC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7F92-49A2-888F-6282D9EE9CC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7F92-49A2-888F-6282D9EE9CCB}"/>
              </c:ext>
            </c:extLst>
          </c:dPt>
          <c:cat>
            <c:multiLvlStrRef>
              <c:f>'S4'!$I$3:$J$6</c:f>
              <c:multiLvlStrCache>
                <c:ptCount val="4"/>
                <c:lvl>
                  <c:pt idx="0">
                    <c:v>Aluminum</c:v>
                  </c:pt>
                  <c:pt idx="1">
                    <c:v>Motor&amp;Jack</c:v>
                  </c:pt>
                  <c:pt idx="2">
                    <c:v>Powder Coating</c:v>
                  </c:pt>
                  <c:pt idx="3">
                    <c:v>Other</c:v>
                  </c:pt>
                </c:lvl>
                <c:lvl>
                  <c:pt idx="0">
                    <c:v>1%</c:v>
                  </c:pt>
                  <c:pt idx="1">
                    <c:v>67%</c:v>
                  </c:pt>
                  <c:pt idx="2">
                    <c:v>4%</c:v>
                  </c:pt>
                  <c:pt idx="3">
                    <c:v>28%</c:v>
                  </c:pt>
                </c:lvl>
              </c:multiLvlStrCache>
            </c:multiLvlStrRef>
          </c:cat>
          <c:val>
            <c:numRef>
              <c:f>'S4'!$K$3:$K$6</c:f>
              <c:numCache>
                <c:formatCode>0%</c:formatCode>
                <c:ptCount val="4"/>
                <c:pt idx="0">
                  <c:v>1.1216953130392766E-2</c:v>
                </c:pt>
                <c:pt idx="1">
                  <c:v>0.67301718782356601</c:v>
                </c:pt>
                <c:pt idx="2">
                  <c:v>3.8090184303168358E-2</c:v>
                </c:pt>
                <c:pt idx="3">
                  <c:v>0.27767567474287291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7F92-49A2-888F-6282D9EE9C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EF8-4159-BDC3-879AEEBB340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EF8-4159-BDC3-879AEEBB340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EF8-4159-BDC3-879AEEBB340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6EF8-4159-BDC3-879AEEBB3406}"/>
              </c:ext>
            </c:extLst>
          </c:dPt>
          <c:cat>
            <c:multiLvlStrRef>
              <c:f>'S5'!$I$3:$J$6</c:f>
              <c:multiLvlStrCache>
                <c:ptCount val="4"/>
                <c:lvl>
                  <c:pt idx="0">
                    <c:v>Aluminum</c:v>
                  </c:pt>
                  <c:pt idx="1">
                    <c:v>Motor&amp;Jack</c:v>
                  </c:pt>
                  <c:pt idx="2">
                    <c:v>Powder Coating</c:v>
                  </c:pt>
                  <c:pt idx="3">
                    <c:v>Other</c:v>
                  </c:pt>
                </c:lvl>
                <c:lvl>
                  <c:pt idx="0">
                    <c:v>1%</c:v>
                  </c:pt>
                  <c:pt idx="1">
                    <c:v>67%</c:v>
                  </c:pt>
                  <c:pt idx="2">
                    <c:v>4%</c:v>
                  </c:pt>
                  <c:pt idx="3">
                    <c:v>28%</c:v>
                  </c:pt>
                </c:lvl>
              </c:multiLvlStrCache>
            </c:multiLvlStrRef>
          </c:cat>
          <c:val>
            <c:numRef>
              <c:f>'S5'!$K$3:$K$6</c:f>
              <c:numCache>
                <c:formatCode>0%</c:formatCode>
                <c:ptCount val="4"/>
                <c:pt idx="0">
                  <c:v>1.1216953130392766E-2</c:v>
                </c:pt>
                <c:pt idx="1">
                  <c:v>0.67301718782356601</c:v>
                </c:pt>
                <c:pt idx="2">
                  <c:v>3.8090184303168358E-2</c:v>
                </c:pt>
                <c:pt idx="3">
                  <c:v>0.27767567474287291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6EF8-4159-BDC3-879AEEBB34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wmf"/><Relationship Id="rId13" Type="http://schemas.openxmlformats.org/officeDocument/2006/relationships/image" Target="../media/image13.wmf"/><Relationship Id="rId18" Type="http://schemas.openxmlformats.org/officeDocument/2006/relationships/image" Target="../media/image18.wmf"/><Relationship Id="rId3" Type="http://schemas.openxmlformats.org/officeDocument/2006/relationships/image" Target="../media/image3.wmf"/><Relationship Id="rId21" Type="http://schemas.openxmlformats.org/officeDocument/2006/relationships/image" Target="../media/image21.wmf"/><Relationship Id="rId7" Type="http://schemas.openxmlformats.org/officeDocument/2006/relationships/image" Target="../media/image7.wmf"/><Relationship Id="rId12" Type="http://schemas.openxmlformats.org/officeDocument/2006/relationships/image" Target="../media/image12.wmf"/><Relationship Id="rId17" Type="http://schemas.openxmlformats.org/officeDocument/2006/relationships/image" Target="../media/image17.wmf"/><Relationship Id="rId2" Type="http://schemas.openxmlformats.org/officeDocument/2006/relationships/image" Target="../media/image2.wmf"/><Relationship Id="rId16" Type="http://schemas.openxmlformats.org/officeDocument/2006/relationships/image" Target="../media/image16.wmf"/><Relationship Id="rId20" Type="http://schemas.openxmlformats.org/officeDocument/2006/relationships/image" Target="../media/image20.wmf"/><Relationship Id="rId1" Type="http://schemas.openxmlformats.org/officeDocument/2006/relationships/image" Target="../media/image1.wmf"/><Relationship Id="rId6" Type="http://schemas.openxmlformats.org/officeDocument/2006/relationships/image" Target="../media/image6.wmf"/><Relationship Id="rId11" Type="http://schemas.openxmlformats.org/officeDocument/2006/relationships/image" Target="../media/image11.wmf"/><Relationship Id="rId5" Type="http://schemas.openxmlformats.org/officeDocument/2006/relationships/image" Target="../media/image5.wmf"/><Relationship Id="rId15" Type="http://schemas.openxmlformats.org/officeDocument/2006/relationships/image" Target="../media/image15.wmf"/><Relationship Id="rId23" Type="http://schemas.openxmlformats.org/officeDocument/2006/relationships/image" Target="../media/image23.wmf"/><Relationship Id="rId10" Type="http://schemas.openxmlformats.org/officeDocument/2006/relationships/image" Target="../media/image10.wmf"/><Relationship Id="rId19" Type="http://schemas.openxmlformats.org/officeDocument/2006/relationships/image" Target="../media/image19.wmf"/><Relationship Id="rId4" Type="http://schemas.openxmlformats.org/officeDocument/2006/relationships/image" Target="../media/image4.wmf"/><Relationship Id="rId9" Type="http://schemas.openxmlformats.org/officeDocument/2006/relationships/image" Target="../media/image9.wmf"/><Relationship Id="rId14" Type="http://schemas.openxmlformats.org/officeDocument/2006/relationships/image" Target="../media/image14.wmf"/><Relationship Id="rId22" Type="http://schemas.openxmlformats.org/officeDocument/2006/relationships/image" Target="../media/image22.wmf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wmf"/><Relationship Id="rId13" Type="http://schemas.openxmlformats.org/officeDocument/2006/relationships/image" Target="../media/image12.wmf"/><Relationship Id="rId18" Type="http://schemas.openxmlformats.org/officeDocument/2006/relationships/image" Target="../media/image17.wmf"/><Relationship Id="rId3" Type="http://schemas.openxmlformats.org/officeDocument/2006/relationships/image" Target="../media/image5.wmf"/><Relationship Id="rId21" Type="http://schemas.openxmlformats.org/officeDocument/2006/relationships/image" Target="../media/image20.wmf"/><Relationship Id="rId7" Type="http://schemas.openxmlformats.org/officeDocument/2006/relationships/image" Target="../media/image7.wmf"/><Relationship Id="rId12" Type="http://schemas.openxmlformats.org/officeDocument/2006/relationships/image" Target="../media/image11.wmf"/><Relationship Id="rId17" Type="http://schemas.openxmlformats.org/officeDocument/2006/relationships/image" Target="../media/image16.wmf"/><Relationship Id="rId2" Type="http://schemas.openxmlformats.org/officeDocument/2006/relationships/image" Target="../media/image4.wmf"/><Relationship Id="rId16" Type="http://schemas.openxmlformats.org/officeDocument/2006/relationships/image" Target="../media/image15.wmf"/><Relationship Id="rId20" Type="http://schemas.openxmlformats.org/officeDocument/2006/relationships/image" Target="../media/image19.wmf"/><Relationship Id="rId1" Type="http://schemas.openxmlformats.org/officeDocument/2006/relationships/image" Target="../media/image1.wmf"/><Relationship Id="rId6" Type="http://schemas.openxmlformats.org/officeDocument/2006/relationships/image" Target="../media/image3.wmf"/><Relationship Id="rId11" Type="http://schemas.openxmlformats.org/officeDocument/2006/relationships/image" Target="../media/image10.wmf"/><Relationship Id="rId5" Type="http://schemas.openxmlformats.org/officeDocument/2006/relationships/image" Target="../media/image2.wmf"/><Relationship Id="rId15" Type="http://schemas.openxmlformats.org/officeDocument/2006/relationships/image" Target="../media/image14.wmf"/><Relationship Id="rId23" Type="http://schemas.openxmlformats.org/officeDocument/2006/relationships/image" Target="../media/image22.wmf"/><Relationship Id="rId10" Type="http://schemas.openxmlformats.org/officeDocument/2006/relationships/image" Target="../media/image23.wmf"/><Relationship Id="rId19" Type="http://schemas.openxmlformats.org/officeDocument/2006/relationships/image" Target="../media/image18.wmf"/><Relationship Id="rId4" Type="http://schemas.openxmlformats.org/officeDocument/2006/relationships/image" Target="../media/image6.wmf"/><Relationship Id="rId9" Type="http://schemas.openxmlformats.org/officeDocument/2006/relationships/image" Target="../media/image9.wmf"/><Relationship Id="rId14" Type="http://schemas.openxmlformats.org/officeDocument/2006/relationships/image" Target="../media/image13.wmf"/><Relationship Id="rId22" Type="http://schemas.openxmlformats.org/officeDocument/2006/relationships/image" Target="../media/image21.wmf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wmf"/><Relationship Id="rId13" Type="http://schemas.openxmlformats.org/officeDocument/2006/relationships/image" Target="../media/image12.wmf"/><Relationship Id="rId18" Type="http://schemas.openxmlformats.org/officeDocument/2006/relationships/image" Target="../media/image17.wmf"/><Relationship Id="rId3" Type="http://schemas.openxmlformats.org/officeDocument/2006/relationships/image" Target="../media/image5.wmf"/><Relationship Id="rId21" Type="http://schemas.openxmlformats.org/officeDocument/2006/relationships/image" Target="../media/image20.wmf"/><Relationship Id="rId7" Type="http://schemas.openxmlformats.org/officeDocument/2006/relationships/image" Target="../media/image7.wmf"/><Relationship Id="rId12" Type="http://schemas.openxmlformats.org/officeDocument/2006/relationships/image" Target="../media/image11.wmf"/><Relationship Id="rId17" Type="http://schemas.openxmlformats.org/officeDocument/2006/relationships/image" Target="../media/image16.wmf"/><Relationship Id="rId2" Type="http://schemas.openxmlformats.org/officeDocument/2006/relationships/image" Target="../media/image4.wmf"/><Relationship Id="rId16" Type="http://schemas.openxmlformats.org/officeDocument/2006/relationships/image" Target="../media/image15.wmf"/><Relationship Id="rId20" Type="http://schemas.openxmlformats.org/officeDocument/2006/relationships/image" Target="../media/image19.wmf"/><Relationship Id="rId1" Type="http://schemas.openxmlformats.org/officeDocument/2006/relationships/image" Target="../media/image1.wmf"/><Relationship Id="rId6" Type="http://schemas.openxmlformats.org/officeDocument/2006/relationships/image" Target="../media/image3.wmf"/><Relationship Id="rId11" Type="http://schemas.openxmlformats.org/officeDocument/2006/relationships/image" Target="../media/image10.wmf"/><Relationship Id="rId5" Type="http://schemas.openxmlformats.org/officeDocument/2006/relationships/image" Target="../media/image2.wmf"/><Relationship Id="rId15" Type="http://schemas.openxmlformats.org/officeDocument/2006/relationships/image" Target="../media/image14.wmf"/><Relationship Id="rId23" Type="http://schemas.openxmlformats.org/officeDocument/2006/relationships/image" Target="../media/image22.wmf"/><Relationship Id="rId10" Type="http://schemas.openxmlformats.org/officeDocument/2006/relationships/image" Target="../media/image23.wmf"/><Relationship Id="rId19" Type="http://schemas.openxmlformats.org/officeDocument/2006/relationships/image" Target="../media/image18.wmf"/><Relationship Id="rId4" Type="http://schemas.openxmlformats.org/officeDocument/2006/relationships/image" Target="../media/image6.wmf"/><Relationship Id="rId9" Type="http://schemas.openxmlformats.org/officeDocument/2006/relationships/image" Target="../media/image9.wmf"/><Relationship Id="rId14" Type="http://schemas.openxmlformats.org/officeDocument/2006/relationships/image" Target="../media/image13.wmf"/><Relationship Id="rId22" Type="http://schemas.openxmlformats.org/officeDocument/2006/relationships/image" Target="../media/image21.wmf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wmf"/><Relationship Id="rId13" Type="http://schemas.openxmlformats.org/officeDocument/2006/relationships/image" Target="../media/image12.wmf"/><Relationship Id="rId18" Type="http://schemas.openxmlformats.org/officeDocument/2006/relationships/image" Target="../media/image17.wmf"/><Relationship Id="rId3" Type="http://schemas.openxmlformats.org/officeDocument/2006/relationships/image" Target="../media/image5.wmf"/><Relationship Id="rId21" Type="http://schemas.openxmlformats.org/officeDocument/2006/relationships/image" Target="../media/image20.wmf"/><Relationship Id="rId7" Type="http://schemas.openxmlformats.org/officeDocument/2006/relationships/image" Target="../media/image7.wmf"/><Relationship Id="rId12" Type="http://schemas.openxmlformats.org/officeDocument/2006/relationships/image" Target="../media/image11.wmf"/><Relationship Id="rId17" Type="http://schemas.openxmlformats.org/officeDocument/2006/relationships/image" Target="../media/image16.wmf"/><Relationship Id="rId2" Type="http://schemas.openxmlformats.org/officeDocument/2006/relationships/image" Target="../media/image4.wmf"/><Relationship Id="rId16" Type="http://schemas.openxmlformats.org/officeDocument/2006/relationships/image" Target="../media/image15.wmf"/><Relationship Id="rId20" Type="http://schemas.openxmlformats.org/officeDocument/2006/relationships/image" Target="../media/image19.wmf"/><Relationship Id="rId1" Type="http://schemas.openxmlformats.org/officeDocument/2006/relationships/image" Target="../media/image1.wmf"/><Relationship Id="rId6" Type="http://schemas.openxmlformats.org/officeDocument/2006/relationships/image" Target="../media/image3.wmf"/><Relationship Id="rId11" Type="http://schemas.openxmlformats.org/officeDocument/2006/relationships/image" Target="../media/image10.wmf"/><Relationship Id="rId5" Type="http://schemas.openxmlformats.org/officeDocument/2006/relationships/image" Target="../media/image2.wmf"/><Relationship Id="rId15" Type="http://schemas.openxmlformats.org/officeDocument/2006/relationships/image" Target="../media/image14.wmf"/><Relationship Id="rId23" Type="http://schemas.openxmlformats.org/officeDocument/2006/relationships/image" Target="../media/image22.wmf"/><Relationship Id="rId10" Type="http://schemas.openxmlformats.org/officeDocument/2006/relationships/image" Target="../media/image23.wmf"/><Relationship Id="rId19" Type="http://schemas.openxmlformats.org/officeDocument/2006/relationships/image" Target="../media/image18.wmf"/><Relationship Id="rId4" Type="http://schemas.openxmlformats.org/officeDocument/2006/relationships/image" Target="../media/image6.wmf"/><Relationship Id="rId9" Type="http://schemas.openxmlformats.org/officeDocument/2006/relationships/image" Target="../media/image9.wmf"/><Relationship Id="rId14" Type="http://schemas.openxmlformats.org/officeDocument/2006/relationships/image" Target="../media/image13.wmf"/><Relationship Id="rId22" Type="http://schemas.openxmlformats.org/officeDocument/2006/relationships/image" Target="../media/image21.wmf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wmf"/><Relationship Id="rId13" Type="http://schemas.openxmlformats.org/officeDocument/2006/relationships/image" Target="../media/image12.wmf"/><Relationship Id="rId18" Type="http://schemas.openxmlformats.org/officeDocument/2006/relationships/image" Target="../media/image17.wmf"/><Relationship Id="rId3" Type="http://schemas.openxmlformats.org/officeDocument/2006/relationships/image" Target="../media/image5.wmf"/><Relationship Id="rId21" Type="http://schemas.openxmlformats.org/officeDocument/2006/relationships/image" Target="../media/image20.wmf"/><Relationship Id="rId7" Type="http://schemas.openxmlformats.org/officeDocument/2006/relationships/image" Target="../media/image7.wmf"/><Relationship Id="rId12" Type="http://schemas.openxmlformats.org/officeDocument/2006/relationships/image" Target="../media/image11.wmf"/><Relationship Id="rId17" Type="http://schemas.openxmlformats.org/officeDocument/2006/relationships/image" Target="../media/image16.wmf"/><Relationship Id="rId2" Type="http://schemas.openxmlformats.org/officeDocument/2006/relationships/image" Target="../media/image4.wmf"/><Relationship Id="rId16" Type="http://schemas.openxmlformats.org/officeDocument/2006/relationships/image" Target="../media/image15.wmf"/><Relationship Id="rId20" Type="http://schemas.openxmlformats.org/officeDocument/2006/relationships/image" Target="../media/image19.wmf"/><Relationship Id="rId1" Type="http://schemas.openxmlformats.org/officeDocument/2006/relationships/image" Target="../media/image1.wmf"/><Relationship Id="rId6" Type="http://schemas.openxmlformats.org/officeDocument/2006/relationships/image" Target="../media/image3.wmf"/><Relationship Id="rId11" Type="http://schemas.openxmlformats.org/officeDocument/2006/relationships/image" Target="../media/image10.wmf"/><Relationship Id="rId5" Type="http://schemas.openxmlformats.org/officeDocument/2006/relationships/image" Target="../media/image2.wmf"/><Relationship Id="rId15" Type="http://schemas.openxmlformats.org/officeDocument/2006/relationships/image" Target="../media/image14.wmf"/><Relationship Id="rId23" Type="http://schemas.openxmlformats.org/officeDocument/2006/relationships/image" Target="../media/image22.wmf"/><Relationship Id="rId10" Type="http://schemas.openxmlformats.org/officeDocument/2006/relationships/image" Target="../media/image23.wmf"/><Relationship Id="rId19" Type="http://schemas.openxmlformats.org/officeDocument/2006/relationships/image" Target="../media/image18.wmf"/><Relationship Id="rId4" Type="http://schemas.openxmlformats.org/officeDocument/2006/relationships/image" Target="../media/image6.wmf"/><Relationship Id="rId9" Type="http://schemas.openxmlformats.org/officeDocument/2006/relationships/image" Target="../media/image9.wmf"/><Relationship Id="rId14" Type="http://schemas.openxmlformats.org/officeDocument/2006/relationships/image" Target="../media/image13.wmf"/><Relationship Id="rId22" Type="http://schemas.openxmlformats.org/officeDocument/2006/relationships/image" Target="../media/image21.w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184141</xdr:colOff>
      <xdr:row>0</xdr:row>
      <xdr:rowOff>277092</xdr:rowOff>
    </xdr:from>
    <xdr:to>
      <xdr:col>10</xdr:col>
      <xdr:colOff>996373</xdr:colOff>
      <xdr:row>12</xdr:row>
      <xdr:rowOff>242456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247650</xdr:colOff>
          <xdr:row>24</xdr:row>
          <xdr:rowOff>47625</xdr:rowOff>
        </xdr:from>
        <xdr:to>
          <xdr:col>1</xdr:col>
          <xdr:colOff>1485900</xdr:colOff>
          <xdr:row>24</xdr:row>
          <xdr:rowOff>476250</xdr:rowOff>
        </xdr:to>
        <xdr:sp macro="" textlink="">
          <xdr:nvSpPr>
            <xdr:cNvPr id="27649" name="Object 1" hidden="1">
              <a:extLst>
                <a:ext uri="{63B3BB69-23CF-44E3-9099-C40C66FF867C}">
                  <a14:compatExt spid="_x0000_s27649"/>
                </a:ext>
                <a:ext uri="{FF2B5EF4-FFF2-40B4-BE49-F238E27FC236}">
                  <a16:creationId xmlns:a16="http://schemas.microsoft.com/office/drawing/2014/main" id="{00000000-0008-0000-0900-000001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27</xdr:row>
          <xdr:rowOff>95250</xdr:rowOff>
        </xdr:from>
        <xdr:to>
          <xdr:col>1</xdr:col>
          <xdr:colOff>1143000</xdr:colOff>
          <xdr:row>27</xdr:row>
          <xdr:rowOff>438150</xdr:rowOff>
        </xdr:to>
        <xdr:sp macro="" textlink="">
          <xdr:nvSpPr>
            <xdr:cNvPr id="27650" name="Object 2" hidden="1">
              <a:extLst>
                <a:ext uri="{63B3BB69-23CF-44E3-9099-C40C66FF867C}">
                  <a14:compatExt spid="_x0000_s27650"/>
                </a:ext>
                <a:ext uri="{FF2B5EF4-FFF2-40B4-BE49-F238E27FC236}">
                  <a16:creationId xmlns:a16="http://schemas.microsoft.com/office/drawing/2014/main" id="{00000000-0008-0000-0900-000002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29</xdr:row>
          <xdr:rowOff>57150</xdr:rowOff>
        </xdr:from>
        <xdr:to>
          <xdr:col>1</xdr:col>
          <xdr:colOff>1123950</xdr:colOff>
          <xdr:row>29</xdr:row>
          <xdr:rowOff>438150</xdr:rowOff>
        </xdr:to>
        <xdr:sp macro="" textlink="">
          <xdr:nvSpPr>
            <xdr:cNvPr id="27651" name="Object 3" hidden="1">
              <a:extLst>
                <a:ext uri="{63B3BB69-23CF-44E3-9099-C40C66FF867C}">
                  <a14:compatExt spid="_x0000_s27651"/>
                </a:ext>
                <a:ext uri="{FF2B5EF4-FFF2-40B4-BE49-F238E27FC236}">
                  <a16:creationId xmlns:a16="http://schemas.microsoft.com/office/drawing/2014/main" id="{00000000-0008-0000-0900-000003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30</xdr:row>
          <xdr:rowOff>28575</xdr:rowOff>
        </xdr:from>
        <xdr:to>
          <xdr:col>1</xdr:col>
          <xdr:colOff>1047750</xdr:colOff>
          <xdr:row>30</xdr:row>
          <xdr:rowOff>476250</xdr:rowOff>
        </xdr:to>
        <xdr:sp macro="" textlink="">
          <xdr:nvSpPr>
            <xdr:cNvPr id="27652" name="Object 4" hidden="1">
              <a:extLst>
                <a:ext uri="{63B3BB69-23CF-44E3-9099-C40C66FF867C}">
                  <a14:compatExt spid="_x0000_s27652"/>
                </a:ext>
                <a:ext uri="{FF2B5EF4-FFF2-40B4-BE49-F238E27FC236}">
                  <a16:creationId xmlns:a16="http://schemas.microsoft.com/office/drawing/2014/main" id="{00000000-0008-0000-0900-000004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742950</xdr:colOff>
          <xdr:row>39</xdr:row>
          <xdr:rowOff>171450</xdr:rowOff>
        </xdr:from>
        <xdr:to>
          <xdr:col>1</xdr:col>
          <xdr:colOff>1047750</xdr:colOff>
          <xdr:row>40</xdr:row>
          <xdr:rowOff>504825</xdr:rowOff>
        </xdr:to>
        <xdr:sp macro="" textlink="">
          <xdr:nvSpPr>
            <xdr:cNvPr id="27653" name="Object 5" hidden="1">
              <a:extLst>
                <a:ext uri="{63B3BB69-23CF-44E3-9099-C40C66FF867C}">
                  <a14:compatExt spid="_x0000_s27653"/>
                </a:ext>
                <a:ext uri="{FF2B5EF4-FFF2-40B4-BE49-F238E27FC236}">
                  <a16:creationId xmlns:a16="http://schemas.microsoft.com/office/drawing/2014/main" id="{00000000-0008-0000-0900-000005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42</xdr:row>
          <xdr:rowOff>38100</xdr:rowOff>
        </xdr:from>
        <xdr:to>
          <xdr:col>1</xdr:col>
          <xdr:colOff>1104900</xdr:colOff>
          <xdr:row>42</xdr:row>
          <xdr:rowOff>504825</xdr:rowOff>
        </xdr:to>
        <xdr:sp macro="" textlink="">
          <xdr:nvSpPr>
            <xdr:cNvPr id="27654" name="Object 6" hidden="1">
              <a:extLst>
                <a:ext uri="{63B3BB69-23CF-44E3-9099-C40C66FF867C}">
                  <a14:compatExt spid="_x0000_s27654"/>
                </a:ext>
                <a:ext uri="{FF2B5EF4-FFF2-40B4-BE49-F238E27FC236}">
                  <a16:creationId xmlns:a16="http://schemas.microsoft.com/office/drawing/2014/main" id="{00000000-0008-0000-0900-000006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52</xdr:row>
          <xdr:rowOff>180975</xdr:rowOff>
        </xdr:from>
        <xdr:to>
          <xdr:col>1</xdr:col>
          <xdr:colOff>1066800</xdr:colOff>
          <xdr:row>54</xdr:row>
          <xdr:rowOff>57150</xdr:rowOff>
        </xdr:to>
        <xdr:sp macro="" textlink="">
          <xdr:nvSpPr>
            <xdr:cNvPr id="27655" name="Object 7" hidden="1">
              <a:extLst>
                <a:ext uri="{63B3BB69-23CF-44E3-9099-C40C66FF867C}">
                  <a14:compatExt spid="_x0000_s27655"/>
                </a:ext>
                <a:ext uri="{FF2B5EF4-FFF2-40B4-BE49-F238E27FC236}">
                  <a16:creationId xmlns:a16="http://schemas.microsoft.com/office/drawing/2014/main" id="{00000000-0008-0000-0900-000007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647700</xdr:colOff>
          <xdr:row>54</xdr:row>
          <xdr:rowOff>66675</xdr:rowOff>
        </xdr:from>
        <xdr:to>
          <xdr:col>1</xdr:col>
          <xdr:colOff>1038225</xdr:colOff>
          <xdr:row>54</xdr:row>
          <xdr:rowOff>485775</xdr:rowOff>
        </xdr:to>
        <xdr:sp macro="" textlink="">
          <xdr:nvSpPr>
            <xdr:cNvPr id="27656" name="Object 8" hidden="1">
              <a:extLst>
                <a:ext uri="{63B3BB69-23CF-44E3-9099-C40C66FF867C}">
                  <a14:compatExt spid="_x0000_s27656"/>
                </a:ext>
                <a:ext uri="{FF2B5EF4-FFF2-40B4-BE49-F238E27FC236}">
                  <a16:creationId xmlns:a16="http://schemas.microsoft.com/office/drawing/2014/main" id="{00000000-0008-0000-0900-000008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57</xdr:row>
          <xdr:rowOff>95250</xdr:rowOff>
        </xdr:from>
        <xdr:to>
          <xdr:col>1</xdr:col>
          <xdr:colOff>1143000</xdr:colOff>
          <xdr:row>57</xdr:row>
          <xdr:rowOff>438150</xdr:rowOff>
        </xdr:to>
        <xdr:sp macro="" textlink="">
          <xdr:nvSpPr>
            <xdr:cNvPr id="27657" name="Object 9" hidden="1">
              <a:extLst>
                <a:ext uri="{63B3BB69-23CF-44E3-9099-C40C66FF867C}">
                  <a14:compatExt spid="_x0000_s27657"/>
                </a:ext>
                <a:ext uri="{FF2B5EF4-FFF2-40B4-BE49-F238E27FC236}">
                  <a16:creationId xmlns:a16="http://schemas.microsoft.com/office/drawing/2014/main" id="{00000000-0008-0000-0900-000009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58</xdr:row>
          <xdr:rowOff>57150</xdr:rowOff>
        </xdr:from>
        <xdr:to>
          <xdr:col>1</xdr:col>
          <xdr:colOff>1123950</xdr:colOff>
          <xdr:row>58</xdr:row>
          <xdr:rowOff>438150</xdr:rowOff>
        </xdr:to>
        <xdr:sp macro="" textlink="">
          <xdr:nvSpPr>
            <xdr:cNvPr id="27658" name="Object 10" hidden="1">
              <a:extLst>
                <a:ext uri="{63B3BB69-23CF-44E3-9099-C40C66FF867C}">
                  <a14:compatExt spid="_x0000_s27658"/>
                </a:ext>
                <a:ext uri="{FF2B5EF4-FFF2-40B4-BE49-F238E27FC236}">
                  <a16:creationId xmlns:a16="http://schemas.microsoft.com/office/drawing/2014/main" id="{00000000-0008-0000-0900-00000A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60</xdr:row>
          <xdr:rowOff>28575</xdr:rowOff>
        </xdr:from>
        <xdr:to>
          <xdr:col>1</xdr:col>
          <xdr:colOff>1047750</xdr:colOff>
          <xdr:row>60</xdr:row>
          <xdr:rowOff>476250</xdr:rowOff>
        </xdr:to>
        <xdr:sp macro="" textlink="">
          <xdr:nvSpPr>
            <xdr:cNvPr id="27659" name="Object 11" hidden="1">
              <a:extLst>
                <a:ext uri="{63B3BB69-23CF-44E3-9099-C40C66FF867C}">
                  <a14:compatExt spid="_x0000_s27659"/>
                </a:ext>
                <a:ext uri="{FF2B5EF4-FFF2-40B4-BE49-F238E27FC236}">
                  <a16:creationId xmlns:a16="http://schemas.microsoft.com/office/drawing/2014/main" id="{00000000-0008-0000-0900-00000B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69</xdr:row>
          <xdr:rowOff>180975</xdr:rowOff>
        </xdr:from>
        <xdr:to>
          <xdr:col>1</xdr:col>
          <xdr:colOff>1066800</xdr:colOff>
          <xdr:row>71</xdr:row>
          <xdr:rowOff>57150</xdr:rowOff>
        </xdr:to>
        <xdr:sp macro="" textlink="">
          <xdr:nvSpPr>
            <xdr:cNvPr id="27660" name="Object 12" hidden="1">
              <a:extLst>
                <a:ext uri="{63B3BB69-23CF-44E3-9099-C40C66FF867C}">
                  <a14:compatExt spid="_x0000_s27660"/>
                </a:ext>
                <a:ext uri="{FF2B5EF4-FFF2-40B4-BE49-F238E27FC236}">
                  <a16:creationId xmlns:a16="http://schemas.microsoft.com/office/drawing/2014/main" id="{00000000-0008-0000-0900-00000C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71</xdr:row>
          <xdr:rowOff>47625</xdr:rowOff>
        </xdr:from>
        <xdr:to>
          <xdr:col>1</xdr:col>
          <xdr:colOff>1047750</xdr:colOff>
          <xdr:row>71</xdr:row>
          <xdr:rowOff>476250</xdr:rowOff>
        </xdr:to>
        <xdr:sp macro="" textlink="">
          <xdr:nvSpPr>
            <xdr:cNvPr id="27661" name="Object 13" hidden="1">
              <a:extLst>
                <a:ext uri="{63B3BB69-23CF-44E3-9099-C40C66FF867C}">
                  <a14:compatExt spid="_x0000_s27661"/>
                </a:ext>
                <a:ext uri="{FF2B5EF4-FFF2-40B4-BE49-F238E27FC236}">
                  <a16:creationId xmlns:a16="http://schemas.microsoft.com/office/drawing/2014/main" id="{00000000-0008-0000-0900-00000D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72</xdr:row>
          <xdr:rowOff>0</xdr:rowOff>
        </xdr:from>
        <xdr:to>
          <xdr:col>1</xdr:col>
          <xdr:colOff>1200150</xdr:colOff>
          <xdr:row>72</xdr:row>
          <xdr:rowOff>466725</xdr:rowOff>
        </xdr:to>
        <xdr:sp macro="" textlink="">
          <xdr:nvSpPr>
            <xdr:cNvPr id="27662" name="Object 14" hidden="1">
              <a:extLst>
                <a:ext uri="{63B3BB69-23CF-44E3-9099-C40C66FF867C}">
                  <a14:compatExt spid="_x0000_s27662"/>
                </a:ext>
                <a:ext uri="{FF2B5EF4-FFF2-40B4-BE49-F238E27FC236}">
                  <a16:creationId xmlns:a16="http://schemas.microsoft.com/office/drawing/2014/main" id="{00000000-0008-0000-0900-00000E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161925</xdr:colOff>
          <xdr:row>82</xdr:row>
          <xdr:rowOff>114300</xdr:rowOff>
        </xdr:from>
        <xdr:to>
          <xdr:col>1</xdr:col>
          <xdr:colOff>1390650</xdr:colOff>
          <xdr:row>82</xdr:row>
          <xdr:rowOff>438150</xdr:rowOff>
        </xdr:to>
        <xdr:sp macro="" textlink="">
          <xdr:nvSpPr>
            <xdr:cNvPr id="27663" name="Object 15" hidden="1">
              <a:extLst>
                <a:ext uri="{63B3BB69-23CF-44E3-9099-C40C66FF867C}">
                  <a14:compatExt spid="_x0000_s27663"/>
                </a:ext>
                <a:ext uri="{FF2B5EF4-FFF2-40B4-BE49-F238E27FC236}">
                  <a16:creationId xmlns:a16="http://schemas.microsoft.com/office/drawing/2014/main" id="{00000000-0008-0000-0900-00000F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314325</xdr:colOff>
          <xdr:row>83</xdr:row>
          <xdr:rowOff>28575</xdr:rowOff>
        </xdr:from>
        <xdr:to>
          <xdr:col>1</xdr:col>
          <xdr:colOff>1314450</xdr:colOff>
          <xdr:row>83</xdr:row>
          <xdr:rowOff>447675</xdr:rowOff>
        </xdr:to>
        <xdr:sp macro="" textlink="">
          <xdr:nvSpPr>
            <xdr:cNvPr id="27664" name="Object 16" hidden="1">
              <a:extLst>
                <a:ext uri="{63B3BB69-23CF-44E3-9099-C40C66FF867C}">
                  <a14:compatExt spid="_x0000_s27664"/>
                </a:ext>
                <a:ext uri="{FF2B5EF4-FFF2-40B4-BE49-F238E27FC236}">
                  <a16:creationId xmlns:a16="http://schemas.microsoft.com/office/drawing/2014/main" id="{00000000-0008-0000-0900-000010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84</xdr:row>
          <xdr:rowOff>38100</xdr:rowOff>
        </xdr:from>
        <xdr:to>
          <xdr:col>1</xdr:col>
          <xdr:colOff>1181100</xdr:colOff>
          <xdr:row>85</xdr:row>
          <xdr:rowOff>0</xdr:rowOff>
        </xdr:to>
        <xdr:sp macro="" textlink="">
          <xdr:nvSpPr>
            <xdr:cNvPr id="27665" name="Object 17" hidden="1">
              <a:extLst>
                <a:ext uri="{63B3BB69-23CF-44E3-9099-C40C66FF867C}">
                  <a14:compatExt spid="_x0000_s27665"/>
                </a:ext>
                <a:ext uri="{FF2B5EF4-FFF2-40B4-BE49-F238E27FC236}">
                  <a16:creationId xmlns:a16="http://schemas.microsoft.com/office/drawing/2014/main" id="{00000000-0008-0000-0900-000011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85</xdr:row>
          <xdr:rowOff>57150</xdr:rowOff>
        </xdr:from>
        <xdr:to>
          <xdr:col>1</xdr:col>
          <xdr:colOff>971550</xdr:colOff>
          <xdr:row>85</xdr:row>
          <xdr:rowOff>485775</xdr:rowOff>
        </xdr:to>
        <xdr:sp macro="" textlink="">
          <xdr:nvSpPr>
            <xdr:cNvPr id="27666" name="Object 18" hidden="1">
              <a:extLst>
                <a:ext uri="{63B3BB69-23CF-44E3-9099-C40C66FF867C}">
                  <a14:compatExt spid="_x0000_s27666"/>
                </a:ext>
                <a:ext uri="{FF2B5EF4-FFF2-40B4-BE49-F238E27FC236}">
                  <a16:creationId xmlns:a16="http://schemas.microsoft.com/office/drawing/2014/main" id="{00000000-0008-0000-0900-000012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447675</xdr:colOff>
          <xdr:row>86</xdr:row>
          <xdr:rowOff>57150</xdr:rowOff>
        </xdr:from>
        <xdr:to>
          <xdr:col>1</xdr:col>
          <xdr:colOff>1123950</xdr:colOff>
          <xdr:row>87</xdr:row>
          <xdr:rowOff>0</xdr:rowOff>
        </xdr:to>
        <xdr:sp macro="" textlink="">
          <xdr:nvSpPr>
            <xdr:cNvPr id="27667" name="Object 19" hidden="1">
              <a:extLst>
                <a:ext uri="{63B3BB69-23CF-44E3-9099-C40C66FF867C}">
                  <a14:compatExt spid="_x0000_s27667"/>
                </a:ext>
                <a:ext uri="{FF2B5EF4-FFF2-40B4-BE49-F238E27FC236}">
                  <a16:creationId xmlns:a16="http://schemas.microsoft.com/office/drawing/2014/main" id="{00000000-0008-0000-0900-000013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590550</xdr:colOff>
          <xdr:row>87</xdr:row>
          <xdr:rowOff>38100</xdr:rowOff>
        </xdr:from>
        <xdr:to>
          <xdr:col>1</xdr:col>
          <xdr:colOff>990600</xdr:colOff>
          <xdr:row>87</xdr:row>
          <xdr:rowOff>485775</xdr:rowOff>
        </xdr:to>
        <xdr:sp macro="" textlink="">
          <xdr:nvSpPr>
            <xdr:cNvPr id="27668" name="Object 20" hidden="1">
              <a:extLst>
                <a:ext uri="{63B3BB69-23CF-44E3-9099-C40C66FF867C}">
                  <a14:compatExt spid="_x0000_s27668"/>
                </a:ext>
                <a:ext uri="{FF2B5EF4-FFF2-40B4-BE49-F238E27FC236}">
                  <a16:creationId xmlns:a16="http://schemas.microsoft.com/office/drawing/2014/main" id="{00000000-0008-0000-0900-000014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89</xdr:row>
          <xdr:rowOff>28575</xdr:rowOff>
        </xdr:from>
        <xdr:to>
          <xdr:col>1</xdr:col>
          <xdr:colOff>1409700</xdr:colOff>
          <xdr:row>89</xdr:row>
          <xdr:rowOff>457200</xdr:rowOff>
        </xdr:to>
        <xdr:sp macro="" textlink="">
          <xdr:nvSpPr>
            <xdr:cNvPr id="27669" name="Object 21" hidden="1">
              <a:extLst>
                <a:ext uri="{63B3BB69-23CF-44E3-9099-C40C66FF867C}">
                  <a14:compatExt spid="_x0000_s27669"/>
                </a:ext>
                <a:ext uri="{FF2B5EF4-FFF2-40B4-BE49-F238E27FC236}">
                  <a16:creationId xmlns:a16="http://schemas.microsoft.com/office/drawing/2014/main" id="{00000000-0008-0000-0900-000015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97</xdr:row>
          <xdr:rowOff>47625</xdr:rowOff>
        </xdr:from>
        <xdr:to>
          <xdr:col>1</xdr:col>
          <xdr:colOff>1019175</xdr:colOff>
          <xdr:row>97</xdr:row>
          <xdr:rowOff>447675</xdr:rowOff>
        </xdr:to>
        <xdr:sp macro="" textlink="">
          <xdr:nvSpPr>
            <xdr:cNvPr id="27670" name="Object 22" hidden="1">
              <a:extLst>
                <a:ext uri="{63B3BB69-23CF-44E3-9099-C40C66FF867C}">
                  <a14:compatExt spid="_x0000_s27670"/>
                </a:ext>
                <a:ext uri="{FF2B5EF4-FFF2-40B4-BE49-F238E27FC236}">
                  <a16:creationId xmlns:a16="http://schemas.microsoft.com/office/drawing/2014/main" id="{00000000-0008-0000-0900-000016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96</xdr:row>
          <xdr:rowOff>57150</xdr:rowOff>
        </xdr:from>
        <xdr:to>
          <xdr:col>1</xdr:col>
          <xdr:colOff>1066800</xdr:colOff>
          <xdr:row>96</xdr:row>
          <xdr:rowOff>457200</xdr:rowOff>
        </xdr:to>
        <xdr:sp macro="" textlink="">
          <xdr:nvSpPr>
            <xdr:cNvPr id="27671" name="Object 23" hidden="1">
              <a:extLst>
                <a:ext uri="{63B3BB69-23CF-44E3-9099-C40C66FF867C}">
                  <a14:compatExt spid="_x0000_s27671"/>
                </a:ext>
                <a:ext uri="{FF2B5EF4-FFF2-40B4-BE49-F238E27FC236}">
                  <a16:creationId xmlns:a16="http://schemas.microsoft.com/office/drawing/2014/main" id="{00000000-0008-0000-0900-000017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98</xdr:row>
          <xdr:rowOff>190500</xdr:rowOff>
        </xdr:from>
        <xdr:to>
          <xdr:col>1</xdr:col>
          <xdr:colOff>1362075</xdr:colOff>
          <xdr:row>98</xdr:row>
          <xdr:rowOff>361950</xdr:rowOff>
        </xdr:to>
        <xdr:sp macro="" textlink="">
          <xdr:nvSpPr>
            <xdr:cNvPr id="27672" name="Object 24" hidden="1">
              <a:extLst>
                <a:ext uri="{63B3BB69-23CF-44E3-9099-C40C66FF867C}">
                  <a14:compatExt spid="_x0000_s27672"/>
                </a:ext>
                <a:ext uri="{FF2B5EF4-FFF2-40B4-BE49-F238E27FC236}">
                  <a16:creationId xmlns:a16="http://schemas.microsoft.com/office/drawing/2014/main" id="{00000000-0008-0000-0900-000018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100</xdr:row>
          <xdr:rowOff>19050</xdr:rowOff>
        </xdr:from>
        <xdr:to>
          <xdr:col>1</xdr:col>
          <xdr:colOff>1047750</xdr:colOff>
          <xdr:row>100</xdr:row>
          <xdr:rowOff>476250</xdr:rowOff>
        </xdr:to>
        <xdr:sp macro="" textlink="">
          <xdr:nvSpPr>
            <xdr:cNvPr id="27673" name="Object 25" hidden="1">
              <a:extLst>
                <a:ext uri="{63B3BB69-23CF-44E3-9099-C40C66FF867C}">
                  <a14:compatExt spid="_x0000_s27673"/>
                </a:ext>
                <a:ext uri="{FF2B5EF4-FFF2-40B4-BE49-F238E27FC236}">
                  <a16:creationId xmlns:a16="http://schemas.microsoft.com/office/drawing/2014/main" id="{00000000-0008-0000-0900-000019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102</xdr:row>
          <xdr:rowOff>0</xdr:rowOff>
        </xdr:from>
        <xdr:to>
          <xdr:col>1</xdr:col>
          <xdr:colOff>1095375</xdr:colOff>
          <xdr:row>102</xdr:row>
          <xdr:rowOff>514350</xdr:rowOff>
        </xdr:to>
        <xdr:sp macro="" textlink="">
          <xdr:nvSpPr>
            <xdr:cNvPr id="27674" name="Object 26" hidden="1">
              <a:extLst>
                <a:ext uri="{63B3BB69-23CF-44E3-9099-C40C66FF867C}">
                  <a14:compatExt spid="_x0000_s27674"/>
                </a:ext>
                <a:ext uri="{FF2B5EF4-FFF2-40B4-BE49-F238E27FC236}">
                  <a16:creationId xmlns:a16="http://schemas.microsoft.com/office/drawing/2014/main" id="{00000000-0008-0000-0900-00001A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476250</xdr:colOff>
          <xdr:row>101</xdr:row>
          <xdr:rowOff>9525</xdr:rowOff>
        </xdr:from>
        <xdr:to>
          <xdr:col>1</xdr:col>
          <xdr:colOff>1247775</xdr:colOff>
          <xdr:row>101</xdr:row>
          <xdr:rowOff>495300</xdr:rowOff>
        </xdr:to>
        <xdr:sp macro="" textlink="">
          <xdr:nvSpPr>
            <xdr:cNvPr id="27675" name="Object 27" hidden="1">
              <a:extLst>
                <a:ext uri="{63B3BB69-23CF-44E3-9099-C40C66FF867C}">
                  <a14:compatExt spid="_x0000_s27675"/>
                </a:ext>
                <a:ext uri="{FF2B5EF4-FFF2-40B4-BE49-F238E27FC236}">
                  <a16:creationId xmlns:a16="http://schemas.microsoft.com/office/drawing/2014/main" id="{00000000-0008-0000-0900-00001B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409575</xdr:colOff>
          <xdr:row>99</xdr:row>
          <xdr:rowOff>19050</xdr:rowOff>
        </xdr:from>
        <xdr:to>
          <xdr:col>1</xdr:col>
          <xdr:colOff>1162050</xdr:colOff>
          <xdr:row>99</xdr:row>
          <xdr:rowOff>485775</xdr:rowOff>
        </xdr:to>
        <xdr:sp macro="" textlink="">
          <xdr:nvSpPr>
            <xdr:cNvPr id="27676" name="Object 28" hidden="1">
              <a:extLst>
                <a:ext uri="{63B3BB69-23CF-44E3-9099-C40C66FF867C}">
                  <a14:compatExt spid="_x0000_s27676"/>
                </a:ext>
                <a:ext uri="{FF2B5EF4-FFF2-40B4-BE49-F238E27FC236}">
                  <a16:creationId xmlns:a16="http://schemas.microsoft.com/office/drawing/2014/main" id="{00000000-0008-0000-0900-00001C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88</xdr:row>
          <xdr:rowOff>0</xdr:rowOff>
        </xdr:from>
        <xdr:to>
          <xdr:col>1</xdr:col>
          <xdr:colOff>1200150</xdr:colOff>
          <xdr:row>88</xdr:row>
          <xdr:rowOff>466725</xdr:rowOff>
        </xdr:to>
        <xdr:sp macro="" textlink="">
          <xdr:nvSpPr>
            <xdr:cNvPr id="27677" name="Object 29" hidden="1">
              <a:extLst>
                <a:ext uri="{63B3BB69-23CF-44E3-9099-C40C66FF867C}">
                  <a14:compatExt spid="_x0000_s27677"/>
                </a:ext>
                <a:ext uri="{FF2B5EF4-FFF2-40B4-BE49-F238E27FC236}">
                  <a16:creationId xmlns:a16="http://schemas.microsoft.com/office/drawing/2014/main" id="{00000000-0008-0000-0900-00001D6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145615</xdr:colOff>
      <xdr:row>32</xdr:row>
      <xdr:rowOff>68947</xdr:rowOff>
    </xdr:from>
    <xdr:to>
      <xdr:col>20</xdr:col>
      <xdr:colOff>661714</xdr:colOff>
      <xdr:row>39</xdr:row>
      <xdr:rowOff>169494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75924886" y="7492097"/>
          <a:ext cx="2173449" cy="1700746"/>
        </a:xfrm>
        <a:prstGeom prst="rect">
          <a:avLst/>
        </a:prstGeom>
      </xdr:spPr>
    </xdr:pic>
    <xdr:clientData/>
  </xdr:twoCellAnchor>
  <xdr:twoCellAnchor editAs="oneCell">
    <xdr:from>
      <xdr:col>16</xdr:col>
      <xdr:colOff>1003305</xdr:colOff>
      <xdr:row>76</xdr:row>
      <xdr:rowOff>62678</xdr:rowOff>
    </xdr:from>
    <xdr:to>
      <xdr:col>20</xdr:col>
      <xdr:colOff>224973</xdr:colOff>
      <xdr:row>84</xdr:row>
      <xdr:rowOff>133176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25244675" y="16834149"/>
          <a:ext cx="2067962" cy="1631852"/>
        </a:xfrm>
        <a:prstGeom prst="rect">
          <a:avLst/>
        </a:prstGeom>
      </xdr:spPr>
    </xdr:pic>
    <xdr:clientData/>
  </xdr:twoCellAnchor>
  <xdr:twoCellAnchor editAs="oneCell">
    <xdr:from>
      <xdr:col>11</xdr:col>
      <xdr:colOff>13074</xdr:colOff>
      <xdr:row>0</xdr:row>
      <xdr:rowOff>50800</xdr:rowOff>
    </xdr:from>
    <xdr:to>
      <xdr:col>21</xdr:col>
      <xdr:colOff>638307</xdr:colOff>
      <xdr:row>51</xdr:row>
      <xdr:rowOff>10583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0312693" y="50800"/>
          <a:ext cx="8107650" cy="11823700"/>
        </a:xfrm>
        <a:prstGeom prst="rect">
          <a:avLst/>
        </a:prstGeom>
      </xdr:spPr>
    </xdr:pic>
    <xdr:clientData/>
  </xdr:twoCellAnchor>
  <xdr:twoCellAnchor editAs="oneCell">
    <xdr:from>
      <xdr:col>8</xdr:col>
      <xdr:colOff>44450</xdr:colOff>
      <xdr:row>125</xdr:row>
      <xdr:rowOff>38100</xdr:rowOff>
    </xdr:from>
    <xdr:to>
      <xdr:col>9</xdr:col>
      <xdr:colOff>3649</xdr:colOff>
      <xdr:row>126</xdr:row>
      <xdr:rowOff>19087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83305734" y="26346150"/>
          <a:ext cx="183316" cy="165136"/>
        </a:xfrm>
        <a:prstGeom prst="rect">
          <a:avLst/>
        </a:prstGeom>
      </xdr:spPr>
    </xdr:pic>
    <xdr:clientData/>
  </xdr:twoCellAnchor>
  <xdr:twoCellAnchor editAs="oneCell">
    <xdr:from>
      <xdr:col>11</xdr:col>
      <xdr:colOff>63500</xdr:colOff>
      <xdr:row>51</xdr:row>
      <xdr:rowOff>97366</xdr:rowOff>
    </xdr:from>
    <xdr:to>
      <xdr:col>22</xdr:col>
      <xdr:colOff>692</xdr:colOff>
      <xdr:row>103</xdr:row>
      <xdr:rowOff>52916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10262267" y="11961283"/>
          <a:ext cx="8107650" cy="120205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247650</xdr:colOff>
          <xdr:row>24</xdr:row>
          <xdr:rowOff>47625</xdr:rowOff>
        </xdr:from>
        <xdr:to>
          <xdr:col>1</xdr:col>
          <xdr:colOff>1485900</xdr:colOff>
          <xdr:row>24</xdr:row>
          <xdr:rowOff>476250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1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27</xdr:row>
          <xdr:rowOff>95250</xdr:rowOff>
        </xdr:from>
        <xdr:to>
          <xdr:col>1</xdr:col>
          <xdr:colOff>1143000</xdr:colOff>
          <xdr:row>27</xdr:row>
          <xdr:rowOff>438150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1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29</xdr:row>
          <xdr:rowOff>57150</xdr:rowOff>
        </xdr:from>
        <xdr:to>
          <xdr:col>1</xdr:col>
          <xdr:colOff>1123950</xdr:colOff>
          <xdr:row>29</xdr:row>
          <xdr:rowOff>438150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1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30</xdr:row>
          <xdr:rowOff>28575</xdr:rowOff>
        </xdr:from>
        <xdr:to>
          <xdr:col>1</xdr:col>
          <xdr:colOff>1047750</xdr:colOff>
          <xdr:row>30</xdr:row>
          <xdr:rowOff>476250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1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742950</xdr:colOff>
          <xdr:row>39</xdr:row>
          <xdr:rowOff>171450</xdr:rowOff>
        </xdr:from>
        <xdr:to>
          <xdr:col>1</xdr:col>
          <xdr:colOff>1047750</xdr:colOff>
          <xdr:row>40</xdr:row>
          <xdr:rowOff>504825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1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42</xdr:row>
          <xdr:rowOff>38100</xdr:rowOff>
        </xdr:from>
        <xdr:to>
          <xdr:col>1</xdr:col>
          <xdr:colOff>1104900</xdr:colOff>
          <xdr:row>42</xdr:row>
          <xdr:rowOff>504825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1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52</xdr:row>
          <xdr:rowOff>180975</xdr:rowOff>
        </xdr:from>
        <xdr:to>
          <xdr:col>1</xdr:col>
          <xdr:colOff>1066800</xdr:colOff>
          <xdr:row>54</xdr:row>
          <xdr:rowOff>57150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1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647700</xdr:colOff>
          <xdr:row>54</xdr:row>
          <xdr:rowOff>66675</xdr:rowOff>
        </xdr:from>
        <xdr:to>
          <xdr:col>1</xdr:col>
          <xdr:colOff>1038225</xdr:colOff>
          <xdr:row>54</xdr:row>
          <xdr:rowOff>485775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1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57</xdr:row>
          <xdr:rowOff>95250</xdr:rowOff>
        </xdr:from>
        <xdr:to>
          <xdr:col>1</xdr:col>
          <xdr:colOff>1143000</xdr:colOff>
          <xdr:row>57</xdr:row>
          <xdr:rowOff>438150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1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58</xdr:row>
          <xdr:rowOff>57150</xdr:rowOff>
        </xdr:from>
        <xdr:to>
          <xdr:col>1</xdr:col>
          <xdr:colOff>1123950</xdr:colOff>
          <xdr:row>58</xdr:row>
          <xdr:rowOff>438150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1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60</xdr:row>
          <xdr:rowOff>28575</xdr:rowOff>
        </xdr:from>
        <xdr:to>
          <xdr:col>1</xdr:col>
          <xdr:colOff>1047750</xdr:colOff>
          <xdr:row>60</xdr:row>
          <xdr:rowOff>476250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1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69</xdr:row>
          <xdr:rowOff>180975</xdr:rowOff>
        </xdr:from>
        <xdr:to>
          <xdr:col>1</xdr:col>
          <xdr:colOff>1066800</xdr:colOff>
          <xdr:row>71</xdr:row>
          <xdr:rowOff>57150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1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71</xdr:row>
          <xdr:rowOff>47625</xdr:rowOff>
        </xdr:from>
        <xdr:to>
          <xdr:col>1</xdr:col>
          <xdr:colOff>1047750</xdr:colOff>
          <xdr:row>71</xdr:row>
          <xdr:rowOff>476250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1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72</xdr:row>
          <xdr:rowOff>0</xdr:rowOff>
        </xdr:from>
        <xdr:to>
          <xdr:col>1</xdr:col>
          <xdr:colOff>1200150</xdr:colOff>
          <xdr:row>72</xdr:row>
          <xdr:rowOff>466725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1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161925</xdr:colOff>
          <xdr:row>82</xdr:row>
          <xdr:rowOff>114300</xdr:rowOff>
        </xdr:from>
        <xdr:to>
          <xdr:col>1</xdr:col>
          <xdr:colOff>1390650</xdr:colOff>
          <xdr:row>82</xdr:row>
          <xdr:rowOff>438150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1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314325</xdr:colOff>
          <xdr:row>83</xdr:row>
          <xdr:rowOff>28575</xdr:rowOff>
        </xdr:from>
        <xdr:to>
          <xdr:col>1</xdr:col>
          <xdr:colOff>1314450</xdr:colOff>
          <xdr:row>83</xdr:row>
          <xdr:rowOff>447675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1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84</xdr:row>
          <xdr:rowOff>38100</xdr:rowOff>
        </xdr:from>
        <xdr:to>
          <xdr:col>1</xdr:col>
          <xdr:colOff>1181100</xdr:colOff>
          <xdr:row>85</xdr:row>
          <xdr:rowOff>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1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85</xdr:row>
          <xdr:rowOff>57150</xdr:rowOff>
        </xdr:from>
        <xdr:to>
          <xdr:col>1</xdr:col>
          <xdr:colOff>971550</xdr:colOff>
          <xdr:row>85</xdr:row>
          <xdr:rowOff>485775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1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447675</xdr:colOff>
          <xdr:row>86</xdr:row>
          <xdr:rowOff>57150</xdr:rowOff>
        </xdr:from>
        <xdr:to>
          <xdr:col>1</xdr:col>
          <xdr:colOff>1123950</xdr:colOff>
          <xdr:row>87</xdr:row>
          <xdr:rowOff>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1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590550</xdr:colOff>
          <xdr:row>87</xdr:row>
          <xdr:rowOff>38100</xdr:rowOff>
        </xdr:from>
        <xdr:to>
          <xdr:col>1</xdr:col>
          <xdr:colOff>990600</xdr:colOff>
          <xdr:row>87</xdr:row>
          <xdr:rowOff>485775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1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89</xdr:row>
          <xdr:rowOff>28575</xdr:rowOff>
        </xdr:from>
        <xdr:to>
          <xdr:col>1</xdr:col>
          <xdr:colOff>1409700</xdr:colOff>
          <xdr:row>89</xdr:row>
          <xdr:rowOff>457200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1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97</xdr:row>
          <xdr:rowOff>47625</xdr:rowOff>
        </xdr:from>
        <xdr:to>
          <xdr:col>1</xdr:col>
          <xdr:colOff>1019175</xdr:colOff>
          <xdr:row>97</xdr:row>
          <xdr:rowOff>447675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1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96</xdr:row>
          <xdr:rowOff>57150</xdr:rowOff>
        </xdr:from>
        <xdr:to>
          <xdr:col>1</xdr:col>
          <xdr:colOff>1066800</xdr:colOff>
          <xdr:row>96</xdr:row>
          <xdr:rowOff>457200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1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98</xdr:row>
          <xdr:rowOff>190500</xdr:rowOff>
        </xdr:from>
        <xdr:to>
          <xdr:col>1</xdr:col>
          <xdr:colOff>1362075</xdr:colOff>
          <xdr:row>98</xdr:row>
          <xdr:rowOff>361950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1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100</xdr:row>
          <xdr:rowOff>19050</xdr:rowOff>
        </xdr:from>
        <xdr:to>
          <xdr:col>1</xdr:col>
          <xdr:colOff>1047750</xdr:colOff>
          <xdr:row>100</xdr:row>
          <xdr:rowOff>476250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1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102</xdr:row>
          <xdr:rowOff>0</xdr:rowOff>
        </xdr:from>
        <xdr:to>
          <xdr:col>1</xdr:col>
          <xdr:colOff>1095375</xdr:colOff>
          <xdr:row>102</xdr:row>
          <xdr:rowOff>514350</xdr:rowOff>
        </xdr:to>
        <xdr:sp macro="" textlink="">
          <xdr:nvSpPr>
            <xdr:cNvPr id="1078" name="Object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1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476250</xdr:colOff>
          <xdr:row>101</xdr:row>
          <xdr:rowOff>9525</xdr:rowOff>
        </xdr:from>
        <xdr:to>
          <xdr:col>1</xdr:col>
          <xdr:colOff>1247775</xdr:colOff>
          <xdr:row>101</xdr:row>
          <xdr:rowOff>495300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1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409575</xdr:colOff>
          <xdr:row>99</xdr:row>
          <xdr:rowOff>19050</xdr:rowOff>
        </xdr:from>
        <xdr:to>
          <xdr:col>1</xdr:col>
          <xdr:colOff>1162050</xdr:colOff>
          <xdr:row>99</xdr:row>
          <xdr:rowOff>485775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1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88</xdr:row>
          <xdr:rowOff>0</xdr:rowOff>
        </xdr:from>
        <xdr:to>
          <xdr:col>1</xdr:col>
          <xdr:colOff>1200150</xdr:colOff>
          <xdr:row>88</xdr:row>
          <xdr:rowOff>466725</xdr:rowOff>
        </xdr:to>
        <xdr:sp macro="" textlink="">
          <xdr:nvSpPr>
            <xdr:cNvPr id="1081" name="Object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1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184141</xdr:colOff>
      <xdr:row>0</xdr:row>
      <xdr:rowOff>277092</xdr:rowOff>
    </xdr:from>
    <xdr:to>
      <xdr:col>10</xdr:col>
      <xdr:colOff>996373</xdr:colOff>
      <xdr:row>12</xdr:row>
      <xdr:rowOff>242456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247650</xdr:colOff>
          <xdr:row>24</xdr:row>
          <xdr:rowOff>47625</xdr:rowOff>
        </xdr:from>
        <xdr:to>
          <xdr:col>1</xdr:col>
          <xdr:colOff>1485900</xdr:colOff>
          <xdr:row>24</xdr:row>
          <xdr:rowOff>476250</xdr:rowOff>
        </xdr:to>
        <xdr:sp macro="" textlink="">
          <xdr:nvSpPr>
            <xdr:cNvPr id="21505" name="Object 1" hidden="1">
              <a:extLst>
                <a:ext uri="{63B3BB69-23CF-44E3-9099-C40C66FF867C}">
                  <a14:compatExt spid="_x0000_s21505"/>
                </a:ext>
                <a:ext uri="{FF2B5EF4-FFF2-40B4-BE49-F238E27FC236}">
                  <a16:creationId xmlns:a16="http://schemas.microsoft.com/office/drawing/2014/main" id="{00000000-0008-0000-0300-000001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27</xdr:row>
          <xdr:rowOff>95250</xdr:rowOff>
        </xdr:from>
        <xdr:to>
          <xdr:col>1</xdr:col>
          <xdr:colOff>1143000</xdr:colOff>
          <xdr:row>27</xdr:row>
          <xdr:rowOff>438150</xdr:rowOff>
        </xdr:to>
        <xdr:sp macro="" textlink="">
          <xdr:nvSpPr>
            <xdr:cNvPr id="21506" name="Object 2" hidden="1">
              <a:extLst>
                <a:ext uri="{63B3BB69-23CF-44E3-9099-C40C66FF867C}">
                  <a14:compatExt spid="_x0000_s21506"/>
                </a:ext>
                <a:ext uri="{FF2B5EF4-FFF2-40B4-BE49-F238E27FC236}">
                  <a16:creationId xmlns:a16="http://schemas.microsoft.com/office/drawing/2014/main" id="{00000000-0008-0000-0300-000002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29</xdr:row>
          <xdr:rowOff>57150</xdr:rowOff>
        </xdr:from>
        <xdr:to>
          <xdr:col>1</xdr:col>
          <xdr:colOff>1123950</xdr:colOff>
          <xdr:row>29</xdr:row>
          <xdr:rowOff>438150</xdr:rowOff>
        </xdr:to>
        <xdr:sp macro="" textlink="">
          <xdr:nvSpPr>
            <xdr:cNvPr id="21507" name="Object 3" hidden="1">
              <a:extLst>
                <a:ext uri="{63B3BB69-23CF-44E3-9099-C40C66FF867C}">
                  <a14:compatExt spid="_x0000_s21507"/>
                </a:ext>
                <a:ext uri="{FF2B5EF4-FFF2-40B4-BE49-F238E27FC236}">
                  <a16:creationId xmlns:a16="http://schemas.microsoft.com/office/drawing/2014/main" id="{00000000-0008-0000-0300-000003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30</xdr:row>
          <xdr:rowOff>28575</xdr:rowOff>
        </xdr:from>
        <xdr:to>
          <xdr:col>1</xdr:col>
          <xdr:colOff>1047750</xdr:colOff>
          <xdr:row>30</xdr:row>
          <xdr:rowOff>476250</xdr:rowOff>
        </xdr:to>
        <xdr:sp macro="" textlink="">
          <xdr:nvSpPr>
            <xdr:cNvPr id="21508" name="Object 4" hidden="1">
              <a:extLst>
                <a:ext uri="{63B3BB69-23CF-44E3-9099-C40C66FF867C}">
                  <a14:compatExt spid="_x0000_s21508"/>
                </a:ext>
                <a:ext uri="{FF2B5EF4-FFF2-40B4-BE49-F238E27FC236}">
                  <a16:creationId xmlns:a16="http://schemas.microsoft.com/office/drawing/2014/main" id="{00000000-0008-0000-0300-000004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742950</xdr:colOff>
          <xdr:row>39</xdr:row>
          <xdr:rowOff>171450</xdr:rowOff>
        </xdr:from>
        <xdr:to>
          <xdr:col>1</xdr:col>
          <xdr:colOff>1047750</xdr:colOff>
          <xdr:row>40</xdr:row>
          <xdr:rowOff>504825</xdr:rowOff>
        </xdr:to>
        <xdr:sp macro="" textlink="">
          <xdr:nvSpPr>
            <xdr:cNvPr id="21509" name="Object 5" hidden="1">
              <a:extLst>
                <a:ext uri="{63B3BB69-23CF-44E3-9099-C40C66FF867C}">
                  <a14:compatExt spid="_x0000_s21509"/>
                </a:ext>
                <a:ext uri="{FF2B5EF4-FFF2-40B4-BE49-F238E27FC236}">
                  <a16:creationId xmlns:a16="http://schemas.microsoft.com/office/drawing/2014/main" id="{00000000-0008-0000-0300-000005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42</xdr:row>
          <xdr:rowOff>38100</xdr:rowOff>
        </xdr:from>
        <xdr:to>
          <xdr:col>1</xdr:col>
          <xdr:colOff>1104900</xdr:colOff>
          <xdr:row>42</xdr:row>
          <xdr:rowOff>504825</xdr:rowOff>
        </xdr:to>
        <xdr:sp macro="" textlink="">
          <xdr:nvSpPr>
            <xdr:cNvPr id="21510" name="Object 6" hidden="1">
              <a:extLst>
                <a:ext uri="{63B3BB69-23CF-44E3-9099-C40C66FF867C}">
                  <a14:compatExt spid="_x0000_s21510"/>
                </a:ext>
                <a:ext uri="{FF2B5EF4-FFF2-40B4-BE49-F238E27FC236}">
                  <a16:creationId xmlns:a16="http://schemas.microsoft.com/office/drawing/2014/main" id="{00000000-0008-0000-0300-000006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52</xdr:row>
          <xdr:rowOff>180975</xdr:rowOff>
        </xdr:from>
        <xdr:to>
          <xdr:col>1</xdr:col>
          <xdr:colOff>1066800</xdr:colOff>
          <xdr:row>54</xdr:row>
          <xdr:rowOff>57150</xdr:rowOff>
        </xdr:to>
        <xdr:sp macro="" textlink="">
          <xdr:nvSpPr>
            <xdr:cNvPr id="21511" name="Object 7" hidden="1">
              <a:extLst>
                <a:ext uri="{63B3BB69-23CF-44E3-9099-C40C66FF867C}">
                  <a14:compatExt spid="_x0000_s21511"/>
                </a:ext>
                <a:ext uri="{FF2B5EF4-FFF2-40B4-BE49-F238E27FC236}">
                  <a16:creationId xmlns:a16="http://schemas.microsoft.com/office/drawing/2014/main" id="{00000000-0008-0000-0300-000007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647700</xdr:colOff>
          <xdr:row>54</xdr:row>
          <xdr:rowOff>66675</xdr:rowOff>
        </xdr:from>
        <xdr:to>
          <xdr:col>1</xdr:col>
          <xdr:colOff>1038225</xdr:colOff>
          <xdr:row>54</xdr:row>
          <xdr:rowOff>485775</xdr:rowOff>
        </xdr:to>
        <xdr:sp macro="" textlink="">
          <xdr:nvSpPr>
            <xdr:cNvPr id="21512" name="Object 8" hidden="1">
              <a:extLst>
                <a:ext uri="{63B3BB69-23CF-44E3-9099-C40C66FF867C}">
                  <a14:compatExt spid="_x0000_s21512"/>
                </a:ext>
                <a:ext uri="{FF2B5EF4-FFF2-40B4-BE49-F238E27FC236}">
                  <a16:creationId xmlns:a16="http://schemas.microsoft.com/office/drawing/2014/main" id="{00000000-0008-0000-0300-000008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57</xdr:row>
          <xdr:rowOff>95250</xdr:rowOff>
        </xdr:from>
        <xdr:to>
          <xdr:col>1</xdr:col>
          <xdr:colOff>1143000</xdr:colOff>
          <xdr:row>57</xdr:row>
          <xdr:rowOff>438150</xdr:rowOff>
        </xdr:to>
        <xdr:sp macro="" textlink="">
          <xdr:nvSpPr>
            <xdr:cNvPr id="21513" name="Object 9" hidden="1">
              <a:extLst>
                <a:ext uri="{63B3BB69-23CF-44E3-9099-C40C66FF867C}">
                  <a14:compatExt spid="_x0000_s21513"/>
                </a:ext>
                <a:ext uri="{FF2B5EF4-FFF2-40B4-BE49-F238E27FC236}">
                  <a16:creationId xmlns:a16="http://schemas.microsoft.com/office/drawing/2014/main" id="{00000000-0008-0000-0300-000009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58</xdr:row>
          <xdr:rowOff>57150</xdr:rowOff>
        </xdr:from>
        <xdr:to>
          <xdr:col>1</xdr:col>
          <xdr:colOff>1123950</xdr:colOff>
          <xdr:row>58</xdr:row>
          <xdr:rowOff>438150</xdr:rowOff>
        </xdr:to>
        <xdr:sp macro="" textlink="">
          <xdr:nvSpPr>
            <xdr:cNvPr id="21514" name="Object 10" hidden="1">
              <a:extLst>
                <a:ext uri="{63B3BB69-23CF-44E3-9099-C40C66FF867C}">
                  <a14:compatExt spid="_x0000_s21514"/>
                </a:ext>
                <a:ext uri="{FF2B5EF4-FFF2-40B4-BE49-F238E27FC236}">
                  <a16:creationId xmlns:a16="http://schemas.microsoft.com/office/drawing/2014/main" id="{00000000-0008-0000-0300-00000A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60</xdr:row>
          <xdr:rowOff>28575</xdr:rowOff>
        </xdr:from>
        <xdr:to>
          <xdr:col>1</xdr:col>
          <xdr:colOff>1047750</xdr:colOff>
          <xdr:row>60</xdr:row>
          <xdr:rowOff>476250</xdr:rowOff>
        </xdr:to>
        <xdr:sp macro="" textlink="">
          <xdr:nvSpPr>
            <xdr:cNvPr id="21515" name="Object 11" hidden="1">
              <a:extLst>
                <a:ext uri="{63B3BB69-23CF-44E3-9099-C40C66FF867C}">
                  <a14:compatExt spid="_x0000_s21515"/>
                </a:ext>
                <a:ext uri="{FF2B5EF4-FFF2-40B4-BE49-F238E27FC236}">
                  <a16:creationId xmlns:a16="http://schemas.microsoft.com/office/drawing/2014/main" id="{00000000-0008-0000-0300-00000B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69</xdr:row>
          <xdr:rowOff>180975</xdr:rowOff>
        </xdr:from>
        <xdr:to>
          <xdr:col>1</xdr:col>
          <xdr:colOff>1066800</xdr:colOff>
          <xdr:row>71</xdr:row>
          <xdr:rowOff>57150</xdr:rowOff>
        </xdr:to>
        <xdr:sp macro="" textlink="">
          <xdr:nvSpPr>
            <xdr:cNvPr id="21516" name="Object 12" hidden="1">
              <a:extLst>
                <a:ext uri="{63B3BB69-23CF-44E3-9099-C40C66FF867C}">
                  <a14:compatExt spid="_x0000_s21516"/>
                </a:ext>
                <a:ext uri="{FF2B5EF4-FFF2-40B4-BE49-F238E27FC236}">
                  <a16:creationId xmlns:a16="http://schemas.microsoft.com/office/drawing/2014/main" id="{00000000-0008-0000-0300-00000C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71</xdr:row>
          <xdr:rowOff>47625</xdr:rowOff>
        </xdr:from>
        <xdr:to>
          <xdr:col>1</xdr:col>
          <xdr:colOff>1047750</xdr:colOff>
          <xdr:row>71</xdr:row>
          <xdr:rowOff>476250</xdr:rowOff>
        </xdr:to>
        <xdr:sp macro="" textlink="">
          <xdr:nvSpPr>
            <xdr:cNvPr id="21517" name="Object 13" hidden="1">
              <a:extLst>
                <a:ext uri="{63B3BB69-23CF-44E3-9099-C40C66FF867C}">
                  <a14:compatExt spid="_x0000_s21517"/>
                </a:ext>
                <a:ext uri="{FF2B5EF4-FFF2-40B4-BE49-F238E27FC236}">
                  <a16:creationId xmlns:a16="http://schemas.microsoft.com/office/drawing/2014/main" id="{00000000-0008-0000-0300-00000D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72</xdr:row>
          <xdr:rowOff>0</xdr:rowOff>
        </xdr:from>
        <xdr:to>
          <xdr:col>1</xdr:col>
          <xdr:colOff>1200150</xdr:colOff>
          <xdr:row>72</xdr:row>
          <xdr:rowOff>466725</xdr:rowOff>
        </xdr:to>
        <xdr:sp macro="" textlink="">
          <xdr:nvSpPr>
            <xdr:cNvPr id="21518" name="Object 14" hidden="1">
              <a:extLst>
                <a:ext uri="{63B3BB69-23CF-44E3-9099-C40C66FF867C}">
                  <a14:compatExt spid="_x0000_s21518"/>
                </a:ext>
                <a:ext uri="{FF2B5EF4-FFF2-40B4-BE49-F238E27FC236}">
                  <a16:creationId xmlns:a16="http://schemas.microsoft.com/office/drawing/2014/main" id="{00000000-0008-0000-0300-00000E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161925</xdr:colOff>
          <xdr:row>82</xdr:row>
          <xdr:rowOff>114300</xdr:rowOff>
        </xdr:from>
        <xdr:to>
          <xdr:col>1</xdr:col>
          <xdr:colOff>1390650</xdr:colOff>
          <xdr:row>82</xdr:row>
          <xdr:rowOff>438150</xdr:rowOff>
        </xdr:to>
        <xdr:sp macro="" textlink="">
          <xdr:nvSpPr>
            <xdr:cNvPr id="21519" name="Object 15" hidden="1">
              <a:extLst>
                <a:ext uri="{63B3BB69-23CF-44E3-9099-C40C66FF867C}">
                  <a14:compatExt spid="_x0000_s21519"/>
                </a:ext>
                <a:ext uri="{FF2B5EF4-FFF2-40B4-BE49-F238E27FC236}">
                  <a16:creationId xmlns:a16="http://schemas.microsoft.com/office/drawing/2014/main" id="{00000000-0008-0000-0300-00000F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314325</xdr:colOff>
          <xdr:row>83</xdr:row>
          <xdr:rowOff>28575</xdr:rowOff>
        </xdr:from>
        <xdr:to>
          <xdr:col>1</xdr:col>
          <xdr:colOff>1314450</xdr:colOff>
          <xdr:row>83</xdr:row>
          <xdr:rowOff>447675</xdr:rowOff>
        </xdr:to>
        <xdr:sp macro="" textlink="">
          <xdr:nvSpPr>
            <xdr:cNvPr id="21520" name="Object 16" hidden="1">
              <a:extLst>
                <a:ext uri="{63B3BB69-23CF-44E3-9099-C40C66FF867C}">
                  <a14:compatExt spid="_x0000_s21520"/>
                </a:ext>
                <a:ext uri="{FF2B5EF4-FFF2-40B4-BE49-F238E27FC236}">
                  <a16:creationId xmlns:a16="http://schemas.microsoft.com/office/drawing/2014/main" id="{00000000-0008-0000-0300-000010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84</xdr:row>
          <xdr:rowOff>38100</xdr:rowOff>
        </xdr:from>
        <xdr:to>
          <xdr:col>1</xdr:col>
          <xdr:colOff>1181100</xdr:colOff>
          <xdr:row>85</xdr:row>
          <xdr:rowOff>0</xdr:rowOff>
        </xdr:to>
        <xdr:sp macro="" textlink="">
          <xdr:nvSpPr>
            <xdr:cNvPr id="21521" name="Object 17" hidden="1">
              <a:extLst>
                <a:ext uri="{63B3BB69-23CF-44E3-9099-C40C66FF867C}">
                  <a14:compatExt spid="_x0000_s21521"/>
                </a:ext>
                <a:ext uri="{FF2B5EF4-FFF2-40B4-BE49-F238E27FC236}">
                  <a16:creationId xmlns:a16="http://schemas.microsoft.com/office/drawing/2014/main" id="{00000000-0008-0000-0300-000011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85</xdr:row>
          <xdr:rowOff>57150</xdr:rowOff>
        </xdr:from>
        <xdr:to>
          <xdr:col>1</xdr:col>
          <xdr:colOff>971550</xdr:colOff>
          <xdr:row>85</xdr:row>
          <xdr:rowOff>485775</xdr:rowOff>
        </xdr:to>
        <xdr:sp macro="" textlink="">
          <xdr:nvSpPr>
            <xdr:cNvPr id="21522" name="Object 18" hidden="1">
              <a:extLst>
                <a:ext uri="{63B3BB69-23CF-44E3-9099-C40C66FF867C}">
                  <a14:compatExt spid="_x0000_s21522"/>
                </a:ext>
                <a:ext uri="{FF2B5EF4-FFF2-40B4-BE49-F238E27FC236}">
                  <a16:creationId xmlns:a16="http://schemas.microsoft.com/office/drawing/2014/main" id="{00000000-0008-0000-0300-000012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447675</xdr:colOff>
          <xdr:row>86</xdr:row>
          <xdr:rowOff>57150</xdr:rowOff>
        </xdr:from>
        <xdr:to>
          <xdr:col>1</xdr:col>
          <xdr:colOff>1123950</xdr:colOff>
          <xdr:row>87</xdr:row>
          <xdr:rowOff>0</xdr:rowOff>
        </xdr:to>
        <xdr:sp macro="" textlink="">
          <xdr:nvSpPr>
            <xdr:cNvPr id="21523" name="Object 19" hidden="1">
              <a:extLst>
                <a:ext uri="{63B3BB69-23CF-44E3-9099-C40C66FF867C}">
                  <a14:compatExt spid="_x0000_s21523"/>
                </a:ext>
                <a:ext uri="{FF2B5EF4-FFF2-40B4-BE49-F238E27FC236}">
                  <a16:creationId xmlns:a16="http://schemas.microsoft.com/office/drawing/2014/main" id="{00000000-0008-0000-0300-000013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590550</xdr:colOff>
          <xdr:row>87</xdr:row>
          <xdr:rowOff>38100</xdr:rowOff>
        </xdr:from>
        <xdr:to>
          <xdr:col>1</xdr:col>
          <xdr:colOff>990600</xdr:colOff>
          <xdr:row>87</xdr:row>
          <xdr:rowOff>485775</xdr:rowOff>
        </xdr:to>
        <xdr:sp macro="" textlink="">
          <xdr:nvSpPr>
            <xdr:cNvPr id="21524" name="Object 20" hidden="1">
              <a:extLst>
                <a:ext uri="{63B3BB69-23CF-44E3-9099-C40C66FF867C}">
                  <a14:compatExt spid="_x0000_s21524"/>
                </a:ext>
                <a:ext uri="{FF2B5EF4-FFF2-40B4-BE49-F238E27FC236}">
                  <a16:creationId xmlns:a16="http://schemas.microsoft.com/office/drawing/2014/main" id="{00000000-0008-0000-0300-000014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89</xdr:row>
          <xdr:rowOff>28575</xdr:rowOff>
        </xdr:from>
        <xdr:to>
          <xdr:col>1</xdr:col>
          <xdr:colOff>1409700</xdr:colOff>
          <xdr:row>89</xdr:row>
          <xdr:rowOff>457200</xdr:rowOff>
        </xdr:to>
        <xdr:sp macro="" textlink="">
          <xdr:nvSpPr>
            <xdr:cNvPr id="21525" name="Object 21" hidden="1">
              <a:extLst>
                <a:ext uri="{63B3BB69-23CF-44E3-9099-C40C66FF867C}">
                  <a14:compatExt spid="_x0000_s21525"/>
                </a:ext>
                <a:ext uri="{FF2B5EF4-FFF2-40B4-BE49-F238E27FC236}">
                  <a16:creationId xmlns:a16="http://schemas.microsoft.com/office/drawing/2014/main" id="{00000000-0008-0000-0300-000015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97</xdr:row>
          <xdr:rowOff>47625</xdr:rowOff>
        </xdr:from>
        <xdr:to>
          <xdr:col>1</xdr:col>
          <xdr:colOff>1019175</xdr:colOff>
          <xdr:row>97</xdr:row>
          <xdr:rowOff>447675</xdr:rowOff>
        </xdr:to>
        <xdr:sp macro="" textlink="">
          <xdr:nvSpPr>
            <xdr:cNvPr id="21526" name="Object 22" hidden="1">
              <a:extLst>
                <a:ext uri="{63B3BB69-23CF-44E3-9099-C40C66FF867C}">
                  <a14:compatExt spid="_x0000_s21526"/>
                </a:ext>
                <a:ext uri="{FF2B5EF4-FFF2-40B4-BE49-F238E27FC236}">
                  <a16:creationId xmlns:a16="http://schemas.microsoft.com/office/drawing/2014/main" id="{00000000-0008-0000-0300-000016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96</xdr:row>
          <xdr:rowOff>57150</xdr:rowOff>
        </xdr:from>
        <xdr:to>
          <xdr:col>1</xdr:col>
          <xdr:colOff>1066800</xdr:colOff>
          <xdr:row>96</xdr:row>
          <xdr:rowOff>457200</xdr:rowOff>
        </xdr:to>
        <xdr:sp macro="" textlink="">
          <xdr:nvSpPr>
            <xdr:cNvPr id="21527" name="Object 23" hidden="1">
              <a:extLst>
                <a:ext uri="{63B3BB69-23CF-44E3-9099-C40C66FF867C}">
                  <a14:compatExt spid="_x0000_s21527"/>
                </a:ext>
                <a:ext uri="{FF2B5EF4-FFF2-40B4-BE49-F238E27FC236}">
                  <a16:creationId xmlns:a16="http://schemas.microsoft.com/office/drawing/2014/main" id="{00000000-0008-0000-0300-000017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98</xdr:row>
          <xdr:rowOff>190500</xdr:rowOff>
        </xdr:from>
        <xdr:to>
          <xdr:col>1</xdr:col>
          <xdr:colOff>1362075</xdr:colOff>
          <xdr:row>98</xdr:row>
          <xdr:rowOff>361950</xdr:rowOff>
        </xdr:to>
        <xdr:sp macro="" textlink="">
          <xdr:nvSpPr>
            <xdr:cNvPr id="21528" name="Object 24" hidden="1">
              <a:extLst>
                <a:ext uri="{63B3BB69-23CF-44E3-9099-C40C66FF867C}">
                  <a14:compatExt spid="_x0000_s21528"/>
                </a:ext>
                <a:ext uri="{FF2B5EF4-FFF2-40B4-BE49-F238E27FC236}">
                  <a16:creationId xmlns:a16="http://schemas.microsoft.com/office/drawing/2014/main" id="{00000000-0008-0000-0300-000018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100</xdr:row>
          <xdr:rowOff>19050</xdr:rowOff>
        </xdr:from>
        <xdr:to>
          <xdr:col>1</xdr:col>
          <xdr:colOff>1047750</xdr:colOff>
          <xdr:row>100</xdr:row>
          <xdr:rowOff>476250</xdr:rowOff>
        </xdr:to>
        <xdr:sp macro="" textlink="">
          <xdr:nvSpPr>
            <xdr:cNvPr id="21529" name="Object 25" hidden="1">
              <a:extLst>
                <a:ext uri="{63B3BB69-23CF-44E3-9099-C40C66FF867C}">
                  <a14:compatExt spid="_x0000_s21529"/>
                </a:ext>
                <a:ext uri="{FF2B5EF4-FFF2-40B4-BE49-F238E27FC236}">
                  <a16:creationId xmlns:a16="http://schemas.microsoft.com/office/drawing/2014/main" id="{00000000-0008-0000-0300-000019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102</xdr:row>
          <xdr:rowOff>0</xdr:rowOff>
        </xdr:from>
        <xdr:to>
          <xdr:col>1</xdr:col>
          <xdr:colOff>1095375</xdr:colOff>
          <xdr:row>102</xdr:row>
          <xdr:rowOff>514350</xdr:rowOff>
        </xdr:to>
        <xdr:sp macro="" textlink="">
          <xdr:nvSpPr>
            <xdr:cNvPr id="21530" name="Object 26" hidden="1">
              <a:extLst>
                <a:ext uri="{63B3BB69-23CF-44E3-9099-C40C66FF867C}">
                  <a14:compatExt spid="_x0000_s21530"/>
                </a:ext>
                <a:ext uri="{FF2B5EF4-FFF2-40B4-BE49-F238E27FC236}">
                  <a16:creationId xmlns:a16="http://schemas.microsoft.com/office/drawing/2014/main" id="{00000000-0008-0000-0300-00001A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476250</xdr:colOff>
          <xdr:row>101</xdr:row>
          <xdr:rowOff>9525</xdr:rowOff>
        </xdr:from>
        <xdr:to>
          <xdr:col>1</xdr:col>
          <xdr:colOff>1247775</xdr:colOff>
          <xdr:row>101</xdr:row>
          <xdr:rowOff>495300</xdr:rowOff>
        </xdr:to>
        <xdr:sp macro="" textlink="">
          <xdr:nvSpPr>
            <xdr:cNvPr id="21531" name="Object 27" hidden="1">
              <a:extLst>
                <a:ext uri="{63B3BB69-23CF-44E3-9099-C40C66FF867C}">
                  <a14:compatExt spid="_x0000_s21531"/>
                </a:ext>
                <a:ext uri="{FF2B5EF4-FFF2-40B4-BE49-F238E27FC236}">
                  <a16:creationId xmlns:a16="http://schemas.microsoft.com/office/drawing/2014/main" id="{00000000-0008-0000-0300-00001B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409575</xdr:colOff>
          <xdr:row>99</xdr:row>
          <xdr:rowOff>19050</xdr:rowOff>
        </xdr:from>
        <xdr:to>
          <xdr:col>1</xdr:col>
          <xdr:colOff>1162050</xdr:colOff>
          <xdr:row>99</xdr:row>
          <xdr:rowOff>485775</xdr:rowOff>
        </xdr:to>
        <xdr:sp macro="" textlink="">
          <xdr:nvSpPr>
            <xdr:cNvPr id="21532" name="Object 28" hidden="1">
              <a:extLst>
                <a:ext uri="{63B3BB69-23CF-44E3-9099-C40C66FF867C}">
                  <a14:compatExt spid="_x0000_s21532"/>
                </a:ext>
                <a:ext uri="{FF2B5EF4-FFF2-40B4-BE49-F238E27FC236}">
                  <a16:creationId xmlns:a16="http://schemas.microsoft.com/office/drawing/2014/main" id="{00000000-0008-0000-0300-00001C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88</xdr:row>
          <xdr:rowOff>0</xdr:rowOff>
        </xdr:from>
        <xdr:to>
          <xdr:col>1</xdr:col>
          <xdr:colOff>1200150</xdr:colOff>
          <xdr:row>88</xdr:row>
          <xdr:rowOff>466725</xdr:rowOff>
        </xdr:to>
        <xdr:sp macro="" textlink="">
          <xdr:nvSpPr>
            <xdr:cNvPr id="21533" name="Object 29" hidden="1">
              <a:extLst>
                <a:ext uri="{63B3BB69-23CF-44E3-9099-C40C66FF867C}">
                  <a14:compatExt spid="_x0000_s21533"/>
                </a:ext>
                <a:ext uri="{FF2B5EF4-FFF2-40B4-BE49-F238E27FC236}">
                  <a16:creationId xmlns:a16="http://schemas.microsoft.com/office/drawing/2014/main" id="{00000000-0008-0000-0300-00001D5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184141</xdr:colOff>
      <xdr:row>0</xdr:row>
      <xdr:rowOff>277092</xdr:rowOff>
    </xdr:from>
    <xdr:to>
      <xdr:col>10</xdr:col>
      <xdr:colOff>996373</xdr:colOff>
      <xdr:row>12</xdr:row>
      <xdr:rowOff>242456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247650</xdr:colOff>
          <xdr:row>24</xdr:row>
          <xdr:rowOff>47625</xdr:rowOff>
        </xdr:from>
        <xdr:to>
          <xdr:col>1</xdr:col>
          <xdr:colOff>1485900</xdr:colOff>
          <xdr:row>24</xdr:row>
          <xdr:rowOff>476250</xdr:rowOff>
        </xdr:to>
        <xdr:sp macro="" textlink="">
          <xdr:nvSpPr>
            <xdr:cNvPr id="23553" name="Object 1" hidden="1">
              <a:extLst>
                <a:ext uri="{63B3BB69-23CF-44E3-9099-C40C66FF867C}">
                  <a14:compatExt spid="_x0000_s23553"/>
                </a:ext>
                <a:ext uri="{FF2B5EF4-FFF2-40B4-BE49-F238E27FC236}">
                  <a16:creationId xmlns:a16="http://schemas.microsoft.com/office/drawing/2014/main" id="{00000000-0008-0000-0500-00000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27</xdr:row>
          <xdr:rowOff>95250</xdr:rowOff>
        </xdr:from>
        <xdr:to>
          <xdr:col>1</xdr:col>
          <xdr:colOff>1143000</xdr:colOff>
          <xdr:row>27</xdr:row>
          <xdr:rowOff>438150</xdr:rowOff>
        </xdr:to>
        <xdr:sp macro="" textlink="">
          <xdr:nvSpPr>
            <xdr:cNvPr id="23554" name="Object 2" hidden="1">
              <a:extLst>
                <a:ext uri="{63B3BB69-23CF-44E3-9099-C40C66FF867C}">
                  <a14:compatExt spid="_x0000_s23554"/>
                </a:ext>
                <a:ext uri="{FF2B5EF4-FFF2-40B4-BE49-F238E27FC236}">
                  <a16:creationId xmlns:a16="http://schemas.microsoft.com/office/drawing/2014/main" id="{00000000-0008-0000-0500-00000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29</xdr:row>
          <xdr:rowOff>57150</xdr:rowOff>
        </xdr:from>
        <xdr:to>
          <xdr:col>1</xdr:col>
          <xdr:colOff>1123950</xdr:colOff>
          <xdr:row>29</xdr:row>
          <xdr:rowOff>438150</xdr:rowOff>
        </xdr:to>
        <xdr:sp macro="" textlink="">
          <xdr:nvSpPr>
            <xdr:cNvPr id="23555" name="Object 3" hidden="1">
              <a:extLst>
                <a:ext uri="{63B3BB69-23CF-44E3-9099-C40C66FF867C}">
                  <a14:compatExt spid="_x0000_s23555"/>
                </a:ext>
                <a:ext uri="{FF2B5EF4-FFF2-40B4-BE49-F238E27FC236}">
                  <a16:creationId xmlns:a16="http://schemas.microsoft.com/office/drawing/2014/main" id="{00000000-0008-0000-0500-00000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30</xdr:row>
          <xdr:rowOff>28575</xdr:rowOff>
        </xdr:from>
        <xdr:to>
          <xdr:col>1</xdr:col>
          <xdr:colOff>1047750</xdr:colOff>
          <xdr:row>30</xdr:row>
          <xdr:rowOff>476250</xdr:rowOff>
        </xdr:to>
        <xdr:sp macro="" textlink="">
          <xdr:nvSpPr>
            <xdr:cNvPr id="23556" name="Object 4" hidden="1">
              <a:extLst>
                <a:ext uri="{63B3BB69-23CF-44E3-9099-C40C66FF867C}">
                  <a14:compatExt spid="_x0000_s23556"/>
                </a:ext>
                <a:ext uri="{FF2B5EF4-FFF2-40B4-BE49-F238E27FC236}">
                  <a16:creationId xmlns:a16="http://schemas.microsoft.com/office/drawing/2014/main" id="{00000000-0008-0000-0500-00000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742950</xdr:colOff>
          <xdr:row>39</xdr:row>
          <xdr:rowOff>171450</xdr:rowOff>
        </xdr:from>
        <xdr:to>
          <xdr:col>1</xdr:col>
          <xdr:colOff>1047750</xdr:colOff>
          <xdr:row>40</xdr:row>
          <xdr:rowOff>504825</xdr:rowOff>
        </xdr:to>
        <xdr:sp macro="" textlink="">
          <xdr:nvSpPr>
            <xdr:cNvPr id="23557" name="Object 5" hidden="1">
              <a:extLst>
                <a:ext uri="{63B3BB69-23CF-44E3-9099-C40C66FF867C}">
                  <a14:compatExt spid="_x0000_s23557"/>
                </a:ext>
                <a:ext uri="{FF2B5EF4-FFF2-40B4-BE49-F238E27FC236}">
                  <a16:creationId xmlns:a16="http://schemas.microsoft.com/office/drawing/2014/main" id="{00000000-0008-0000-0500-00000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42</xdr:row>
          <xdr:rowOff>38100</xdr:rowOff>
        </xdr:from>
        <xdr:to>
          <xdr:col>1</xdr:col>
          <xdr:colOff>1104900</xdr:colOff>
          <xdr:row>42</xdr:row>
          <xdr:rowOff>504825</xdr:rowOff>
        </xdr:to>
        <xdr:sp macro="" textlink="">
          <xdr:nvSpPr>
            <xdr:cNvPr id="23558" name="Object 6" hidden="1">
              <a:extLst>
                <a:ext uri="{63B3BB69-23CF-44E3-9099-C40C66FF867C}">
                  <a14:compatExt spid="_x0000_s23558"/>
                </a:ext>
                <a:ext uri="{FF2B5EF4-FFF2-40B4-BE49-F238E27FC236}">
                  <a16:creationId xmlns:a16="http://schemas.microsoft.com/office/drawing/2014/main" id="{00000000-0008-0000-0500-00000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52</xdr:row>
          <xdr:rowOff>180975</xdr:rowOff>
        </xdr:from>
        <xdr:to>
          <xdr:col>1</xdr:col>
          <xdr:colOff>1066800</xdr:colOff>
          <xdr:row>54</xdr:row>
          <xdr:rowOff>57150</xdr:rowOff>
        </xdr:to>
        <xdr:sp macro="" textlink="">
          <xdr:nvSpPr>
            <xdr:cNvPr id="23559" name="Object 7" hidden="1">
              <a:extLst>
                <a:ext uri="{63B3BB69-23CF-44E3-9099-C40C66FF867C}">
                  <a14:compatExt spid="_x0000_s23559"/>
                </a:ext>
                <a:ext uri="{FF2B5EF4-FFF2-40B4-BE49-F238E27FC236}">
                  <a16:creationId xmlns:a16="http://schemas.microsoft.com/office/drawing/2014/main" id="{00000000-0008-0000-0500-00000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647700</xdr:colOff>
          <xdr:row>54</xdr:row>
          <xdr:rowOff>66675</xdr:rowOff>
        </xdr:from>
        <xdr:to>
          <xdr:col>1</xdr:col>
          <xdr:colOff>1038225</xdr:colOff>
          <xdr:row>54</xdr:row>
          <xdr:rowOff>485775</xdr:rowOff>
        </xdr:to>
        <xdr:sp macro="" textlink="">
          <xdr:nvSpPr>
            <xdr:cNvPr id="23560" name="Object 8" hidden="1">
              <a:extLst>
                <a:ext uri="{63B3BB69-23CF-44E3-9099-C40C66FF867C}">
                  <a14:compatExt spid="_x0000_s23560"/>
                </a:ext>
                <a:ext uri="{FF2B5EF4-FFF2-40B4-BE49-F238E27FC236}">
                  <a16:creationId xmlns:a16="http://schemas.microsoft.com/office/drawing/2014/main" id="{00000000-0008-0000-0500-00000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57</xdr:row>
          <xdr:rowOff>95250</xdr:rowOff>
        </xdr:from>
        <xdr:to>
          <xdr:col>1</xdr:col>
          <xdr:colOff>1143000</xdr:colOff>
          <xdr:row>57</xdr:row>
          <xdr:rowOff>438150</xdr:rowOff>
        </xdr:to>
        <xdr:sp macro="" textlink="">
          <xdr:nvSpPr>
            <xdr:cNvPr id="23561" name="Object 9" hidden="1">
              <a:extLst>
                <a:ext uri="{63B3BB69-23CF-44E3-9099-C40C66FF867C}">
                  <a14:compatExt spid="_x0000_s23561"/>
                </a:ext>
                <a:ext uri="{FF2B5EF4-FFF2-40B4-BE49-F238E27FC236}">
                  <a16:creationId xmlns:a16="http://schemas.microsoft.com/office/drawing/2014/main" id="{00000000-0008-0000-0500-00000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58</xdr:row>
          <xdr:rowOff>57150</xdr:rowOff>
        </xdr:from>
        <xdr:to>
          <xdr:col>1</xdr:col>
          <xdr:colOff>1123950</xdr:colOff>
          <xdr:row>58</xdr:row>
          <xdr:rowOff>438150</xdr:rowOff>
        </xdr:to>
        <xdr:sp macro="" textlink="">
          <xdr:nvSpPr>
            <xdr:cNvPr id="23562" name="Object 10" hidden="1">
              <a:extLst>
                <a:ext uri="{63B3BB69-23CF-44E3-9099-C40C66FF867C}">
                  <a14:compatExt spid="_x0000_s23562"/>
                </a:ext>
                <a:ext uri="{FF2B5EF4-FFF2-40B4-BE49-F238E27FC236}">
                  <a16:creationId xmlns:a16="http://schemas.microsoft.com/office/drawing/2014/main" id="{00000000-0008-0000-0500-00000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60</xdr:row>
          <xdr:rowOff>28575</xdr:rowOff>
        </xdr:from>
        <xdr:to>
          <xdr:col>1</xdr:col>
          <xdr:colOff>1047750</xdr:colOff>
          <xdr:row>60</xdr:row>
          <xdr:rowOff>476250</xdr:rowOff>
        </xdr:to>
        <xdr:sp macro="" textlink="">
          <xdr:nvSpPr>
            <xdr:cNvPr id="23563" name="Object 11" hidden="1">
              <a:extLst>
                <a:ext uri="{63B3BB69-23CF-44E3-9099-C40C66FF867C}">
                  <a14:compatExt spid="_x0000_s23563"/>
                </a:ext>
                <a:ext uri="{FF2B5EF4-FFF2-40B4-BE49-F238E27FC236}">
                  <a16:creationId xmlns:a16="http://schemas.microsoft.com/office/drawing/2014/main" id="{00000000-0008-0000-0500-00000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69</xdr:row>
          <xdr:rowOff>180975</xdr:rowOff>
        </xdr:from>
        <xdr:to>
          <xdr:col>1</xdr:col>
          <xdr:colOff>1066800</xdr:colOff>
          <xdr:row>71</xdr:row>
          <xdr:rowOff>57150</xdr:rowOff>
        </xdr:to>
        <xdr:sp macro="" textlink="">
          <xdr:nvSpPr>
            <xdr:cNvPr id="23564" name="Object 12" hidden="1">
              <a:extLst>
                <a:ext uri="{63B3BB69-23CF-44E3-9099-C40C66FF867C}">
                  <a14:compatExt spid="_x0000_s23564"/>
                </a:ext>
                <a:ext uri="{FF2B5EF4-FFF2-40B4-BE49-F238E27FC236}">
                  <a16:creationId xmlns:a16="http://schemas.microsoft.com/office/drawing/2014/main" id="{00000000-0008-0000-0500-00000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71</xdr:row>
          <xdr:rowOff>47625</xdr:rowOff>
        </xdr:from>
        <xdr:to>
          <xdr:col>1</xdr:col>
          <xdr:colOff>1047750</xdr:colOff>
          <xdr:row>71</xdr:row>
          <xdr:rowOff>476250</xdr:rowOff>
        </xdr:to>
        <xdr:sp macro="" textlink="">
          <xdr:nvSpPr>
            <xdr:cNvPr id="23565" name="Object 13" hidden="1">
              <a:extLst>
                <a:ext uri="{63B3BB69-23CF-44E3-9099-C40C66FF867C}">
                  <a14:compatExt spid="_x0000_s23565"/>
                </a:ext>
                <a:ext uri="{FF2B5EF4-FFF2-40B4-BE49-F238E27FC236}">
                  <a16:creationId xmlns:a16="http://schemas.microsoft.com/office/drawing/2014/main" id="{00000000-0008-0000-0500-00000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72</xdr:row>
          <xdr:rowOff>0</xdr:rowOff>
        </xdr:from>
        <xdr:to>
          <xdr:col>1</xdr:col>
          <xdr:colOff>1200150</xdr:colOff>
          <xdr:row>72</xdr:row>
          <xdr:rowOff>466725</xdr:rowOff>
        </xdr:to>
        <xdr:sp macro="" textlink="">
          <xdr:nvSpPr>
            <xdr:cNvPr id="23566" name="Object 14" hidden="1">
              <a:extLst>
                <a:ext uri="{63B3BB69-23CF-44E3-9099-C40C66FF867C}">
                  <a14:compatExt spid="_x0000_s23566"/>
                </a:ext>
                <a:ext uri="{FF2B5EF4-FFF2-40B4-BE49-F238E27FC236}">
                  <a16:creationId xmlns:a16="http://schemas.microsoft.com/office/drawing/2014/main" id="{00000000-0008-0000-0500-00000E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161925</xdr:colOff>
          <xdr:row>82</xdr:row>
          <xdr:rowOff>114300</xdr:rowOff>
        </xdr:from>
        <xdr:to>
          <xdr:col>1</xdr:col>
          <xdr:colOff>1390650</xdr:colOff>
          <xdr:row>82</xdr:row>
          <xdr:rowOff>438150</xdr:rowOff>
        </xdr:to>
        <xdr:sp macro="" textlink="">
          <xdr:nvSpPr>
            <xdr:cNvPr id="23567" name="Object 15" hidden="1">
              <a:extLst>
                <a:ext uri="{63B3BB69-23CF-44E3-9099-C40C66FF867C}">
                  <a14:compatExt spid="_x0000_s23567"/>
                </a:ext>
                <a:ext uri="{FF2B5EF4-FFF2-40B4-BE49-F238E27FC236}">
                  <a16:creationId xmlns:a16="http://schemas.microsoft.com/office/drawing/2014/main" id="{00000000-0008-0000-0500-00000F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314325</xdr:colOff>
          <xdr:row>83</xdr:row>
          <xdr:rowOff>28575</xdr:rowOff>
        </xdr:from>
        <xdr:to>
          <xdr:col>1</xdr:col>
          <xdr:colOff>1314450</xdr:colOff>
          <xdr:row>83</xdr:row>
          <xdr:rowOff>447675</xdr:rowOff>
        </xdr:to>
        <xdr:sp macro="" textlink="">
          <xdr:nvSpPr>
            <xdr:cNvPr id="23568" name="Object 16" hidden="1">
              <a:extLst>
                <a:ext uri="{63B3BB69-23CF-44E3-9099-C40C66FF867C}">
                  <a14:compatExt spid="_x0000_s23568"/>
                </a:ext>
                <a:ext uri="{FF2B5EF4-FFF2-40B4-BE49-F238E27FC236}">
                  <a16:creationId xmlns:a16="http://schemas.microsoft.com/office/drawing/2014/main" id="{00000000-0008-0000-0500-000010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84</xdr:row>
          <xdr:rowOff>38100</xdr:rowOff>
        </xdr:from>
        <xdr:to>
          <xdr:col>1</xdr:col>
          <xdr:colOff>1181100</xdr:colOff>
          <xdr:row>85</xdr:row>
          <xdr:rowOff>0</xdr:rowOff>
        </xdr:to>
        <xdr:sp macro="" textlink="">
          <xdr:nvSpPr>
            <xdr:cNvPr id="23569" name="Object 17" hidden="1">
              <a:extLst>
                <a:ext uri="{63B3BB69-23CF-44E3-9099-C40C66FF867C}">
                  <a14:compatExt spid="_x0000_s23569"/>
                </a:ext>
                <a:ext uri="{FF2B5EF4-FFF2-40B4-BE49-F238E27FC236}">
                  <a16:creationId xmlns:a16="http://schemas.microsoft.com/office/drawing/2014/main" id="{00000000-0008-0000-0500-00001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85</xdr:row>
          <xdr:rowOff>57150</xdr:rowOff>
        </xdr:from>
        <xdr:to>
          <xdr:col>1</xdr:col>
          <xdr:colOff>971550</xdr:colOff>
          <xdr:row>85</xdr:row>
          <xdr:rowOff>485775</xdr:rowOff>
        </xdr:to>
        <xdr:sp macro="" textlink="">
          <xdr:nvSpPr>
            <xdr:cNvPr id="23570" name="Object 18" hidden="1">
              <a:extLst>
                <a:ext uri="{63B3BB69-23CF-44E3-9099-C40C66FF867C}">
                  <a14:compatExt spid="_x0000_s23570"/>
                </a:ext>
                <a:ext uri="{FF2B5EF4-FFF2-40B4-BE49-F238E27FC236}">
                  <a16:creationId xmlns:a16="http://schemas.microsoft.com/office/drawing/2014/main" id="{00000000-0008-0000-0500-000012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447675</xdr:colOff>
          <xdr:row>86</xdr:row>
          <xdr:rowOff>57150</xdr:rowOff>
        </xdr:from>
        <xdr:to>
          <xdr:col>1</xdr:col>
          <xdr:colOff>1123950</xdr:colOff>
          <xdr:row>87</xdr:row>
          <xdr:rowOff>0</xdr:rowOff>
        </xdr:to>
        <xdr:sp macro="" textlink="">
          <xdr:nvSpPr>
            <xdr:cNvPr id="23571" name="Object 19" hidden="1">
              <a:extLst>
                <a:ext uri="{63B3BB69-23CF-44E3-9099-C40C66FF867C}">
                  <a14:compatExt spid="_x0000_s23571"/>
                </a:ext>
                <a:ext uri="{FF2B5EF4-FFF2-40B4-BE49-F238E27FC236}">
                  <a16:creationId xmlns:a16="http://schemas.microsoft.com/office/drawing/2014/main" id="{00000000-0008-0000-0500-00001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590550</xdr:colOff>
          <xdr:row>87</xdr:row>
          <xdr:rowOff>38100</xdr:rowOff>
        </xdr:from>
        <xdr:to>
          <xdr:col>1</xdr:col>
          <xdr:colOff>990600</xdr:colOff>
          <xdr:row>87</xdr:row>
          <xdr:rowOff>485775</xdr:rowOff>
        </xdr:to>
        <xdr:sp macro="" textlink="">
          <xdr:nvSpPr>
            <xdr:cNvPr id="23572" name="Object 20" hidden="1">
              <a:extLst>
                <a:ext uri="{63B3BB69-23CF-44E3-9099-C40C66FF867C}">
                  <a14:compatExt spid="_x0000_s23572"/>
                </a:ext>
                <a:ext uri="{FF2B5EF4-FFF2-40B4-BE49-F238E27FC236}">
                  <a16:creationId xmlns:a16="http://schemas.microsoft.com/office/drawing/2014/main" id="{00000000-0008-0000-0500-00001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89</xdr:row>
          <xdr:rowOff>28575</xdr:rowOff>
        </xdr:from>
        <xdr:to>
          <xdr:col>1</xdr:col>
          <xdr:colOff>1409700</xdr:colOff>
          <xdr:row>89</xdr:row>
          <xdr:rowOff>457200</xdr:rowOff>
        </xdr:to>
        <xdr:sp macro="" textlink="">
          <xdr:nvSpPr>
            <xdr:cNvPr id="23573" name="Object 21" hidden="1">
              <a:extLst>
                <a:ext uri="{63B3BB69-23CF-44E3-9099-C40C66FF867C}">
                  <a14:compatExt spid="_x0000_s23573"/>
                </a:ext>
                <a:ext uri="{FF2B5EF4-FFF2-40B4-BE49-F238E27FC236}">
                  <a16:creationId xmlns:a16="http://schemas.microsoft.com/office/drawing/2014/main" id="{00000000-0008-0000-0500-000015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97</xdr:row>
          <xdr:rowOff>47625</xdr:rowOff>
        </xdr:from>
        <xdr:to>
          <xdr:col>1</xdr:col>
          <xdr:colOff>1019175</xdr:colOff>
          <xdr:row>97</xdr:row>
          <xdr:rowOff>447675</xdr:rowOff>
        </xdr:to>
        <xdr:sp macro="" textlink="">
          <xdr:nvSpPr>
            <xdr:cNvPr id="23574" name="Object 22" hidden="1">
              <a:extLst>
                <a:ext uri="{63B3BB69-23CF-44E3-9099-C40C66FF867C}">
                  <a14:compatExt spid="_x0000_s23574"/>
                </a:ext>
                <a:ext uri="{FF2B5EF4-FFF2-40B4-BE49-F238E27FC236}">
                  <a16:creationId xmlns:a16="http://schemas.microsoft.com/office/drawing/2014/main" id="{00000000-0008-0000-0500-000016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96</xdr:row>
          <xdr:rowOff>57150</xdr:rowOff>
        </xdr:from>
        <xdr:to>
          <xdr:col>1</xdr:col>
          <xdr:colOff>1066800</xdr:colOff>
          <xdr:row>96</xdr:row>
          <xdr:rowOff>457200</xdr:rowOff>
        </xdr:to>
        <xdr:sp macro="" textlink="">
          <xdr:nvSpPr>
            <xdr:cNvPr id="23575" name="Object 23" hidden="1">
              <a:extLst>
                <a:ext uri="{63B3BB69-23CF-44E3-9099-C40C66FF867C}">
                  <a14:compatExt spid="_x0000_s23575"/>
                </a:ext>
                <a:ext uri="{FF2B5EF4-FFF2-40B4-BE49-F238E27FC236}">
                  <a16:creationId xmlns:a16="http://schemas.microsoft.com/office/drawing/2014/main" id="{00000000-0008-0000-0500-000017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98</xdr:row>
          <xdr:rowOff>190500</xdr:rowOff>
        </xdr:from>
        <xdr:to>
          <xdr:col>1</xdr:col>
          <xdr:colOff>1362075</xdr:colOff>
          <xdr:row>98</xdr:row>
          <xdr:rowOff>361950</xdr:rowOff>
        </xdr:to>
        <xdr:sp macro="" textlink="">
          <xdr:nvSpPr>
            <xdr:cNvPr id="23576" name="Object 24" hidden="1">
              <a:extLst>
                <a:ext uri="{63B3BB69-23CF-44E3-9099-C40C66FF867C}">
                  <a14:compatExt spid="_x0000_s23576"/>
                </a:ext>
                <a:ext uri="{FF2B5EF4-FFF2-40B4-BE49-F238E27FC236}">
                  <a16:creationId xmlns:a16="http://schemas.microsoft.com/office/drawing/2014/main" id="{00000000-0008-0000-0500-000018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100</xdr:row>
          <xdr:rowOff>19050</xdr:rowOff>
        </xdr:from>
        <xdr:to>
          <xdr:col>1</xdr:col>
          <xdr:colOff>1047750</xdr:colOff>
          <xdr:row>100</xdr:row>
          <xdr:rowOff>476250</xdr:rowOff>
        </xdr:to>
        <xdr:sp macro="" textlink="">
          <xdr:nvSpPr>
            <xdr:cNvPr id="23577" name="Object 25" hidden="1">
              <a:extLst>
                <a:ext uri="{63B3BB69-23CF-44E3-9099-C40C66FF867C}">
                  <a14:compatExt spid="_x0000_s23577"/>
                </a:ext>
                <a:ext uri="{FF2B5EF4-FFF2-40B4-BE49-F238E27FC236}">
                  <a16:creationId xmlns:a16="http://schemas.microsoft.com/office/drawing/2014/main" id="{00000000-0008-0000-0500-000019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102</xdr:row>
          <xdr:rowOff>0</xdr:rowOff>
        </xdr:from>
        <xdr:to>
          <xdr:col>1</xdr:col>
          <xdr:colOff>1095375</xdr:colOff>
          <xdr:row>102</xdr:row>
          <xdr:rowOff>514350</xdr:rowOff>
        </xdr:to>
        <xdr:sp macro="" textlink="">
          <xdr:nvSpPr>
            <xdr:cNvPr id="23578" name="Object 26" hidden="1">
              <a:extLst>
                <a:ext uri="{63B3BB69-23CF-44E3-9099-C40C66FF867C}">
                  <a14:compatExt spid="_x0000_s23578"/>
                </a:ext>
                <a:ext uri="{FF2B5EF4-FFF2-40B4-BE49-F238E27FC236}">
                  <a16:creationId xmlns:a16="http://schemas.microsoft.com/office/drawing/2014/main" id="{00000000-0008-0000-0500-00001A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476250</xdr:colOff>
          <xdr:row>101</xdr:row>
          <xdr:rowOff>9525</xdr:rowOff>
        </xdr:from>
        <xdr:to>
          <xdr:col>1</xdr:col>
          <xdr:colOff>1247775</xdr:colOff>
          <xdr:row>101</xdr:row>
          <xdr:rowOff>495300</xdr:rowOff>
        </xdr:to>
        <xdr:sp macro="" textlink="">
          <xdr:nvSpPr>
            <xdr:cNvPr id="23579" name="Object 27" hidden="1">
              <a:extLst>
                <a:ext uri="{63B3BB69-23CF-44E3-9099-C40C66FF867C}">
                  <a14:compatExt spid="_x0000_s23579"/>
                </a:ext>
                <a:ext uri="{FF2B5EF4-FFF2-40B4-BE49-F238E27FC236}">
                  <a16:creationId xmlns:a16="http://schemas.microsoft.com/office/drawing/2014/main" id="{00000000-0008-0000-0500-00001B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409575</xdr:colOff>
          <xdr:row>99</xdr:row>
          <xdr:rowOff>19050</xdr:rowOff>
        </xdr:from>
        <xdr:to>
          <xdr:col>1</xdr:col>
          <xdr:colOff>1162050</xdr:colOff>
          <xdr:row>99</xdr:row>
          <xdr:rowOff>485775</xdr:rowOff>
        </xdr:to>
        <xdr:sp macro="" textlink="">
          <xdr:nvSpPr>
            <xdr:cNvPr id="23580" name="Object 28" hidden="1">
              <a:extLst>
                <a:ext uri="{63B3BB69-23CF-44E3-9099-C40C66FF867C}">
                  <a14:compatExt spid="_x0000_s23580"/>
                </a:ext>
                <a:ext uri="{FF2B5EF4-FFF2-40B4-BE49-F238E27FC236}">
                  <a16:creationId xmlns:a16="http://schemas.microsoft.com/office/drawing/2014/main" id="{00000000-0008-0000-0500-00001C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88</xdr:row>
          <xdr:rowOff>0</xdr:rowOff>
        </xdr:from>
        <xdr:to>
          <xdr:col>1</xdr:col>
          <xdr:colOff>1200150</xdr:colOff>
          <xdr:row>88</xdr:row>
          <xdr:rowOff>466725</xdr:rowOff>
        </xdr:to>
        <xdr:sp macro="" textlink="">
          <xdr:nvSpPr>
            <xdr:cNvPr id="23581" name="Object 29" hidden="1">
              <a:extLst>
                <a:ext uri="{63B3BB69-23CF-44E3-9099-C40C66FF867C}">
                  <a14:compatExt spid="_x0000_s23581"/>
                </a:ext>
                <a:ext uri="{FF2B5EF4-FFF2-40B4-BE49-F238E27FC236}">
                  <a16:creationId xmlns:a16="http://schemas.microsoft.com/office/drawing/2014/main" id="{00000000-0008-0000-0500-00001D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184141</xdr:colOff>
      <xdr:row>0</xdr:row>
      <xdr:rowOff>277092</xdr:rowOff>
    </xdr:from>
    <xdr:to>
      <xdr:col>10</xdr:col>
      <xdr:colOff>996373</xdr:colOff>
      <xdr:row>12</xdr:row>
      <xdr:rowOff>242456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247650</xdr:colOff>
          <xdr:row>24</xdr:row>
          <xdr:rowOff>47625</xdr:rowOff>
        </xdr:from>
        <xdr:to>
          <xdr:col>1</xdr:col>
          <xdr:colOff>1485900</xdr:colOff>
          <xdr:row>24</xdr:row>
          <xdr:rowOff>476250</xdr:rowOff>
        </xdr:to>
        <xdr:sp macro="" textlink="">
          <xdr:nvSpPr>
            <xdr:cNvPr id="25601" name="Object 1" hidden="1">
              <a:extLst>
                <a:ext uri="{63B3BB69-23CF-44E3-9099-C40C66FF867C}">
                  <a14:compatExt spid="_x0000_s25601"/>
                </a:ext>
                <a:ext uri="{FF2B5EF4-FFF2-40B4-BE49-F238E27FC236}">
                  <a16:creationId xmlns:a16="http://schemas.microsoft.com/office/drawing/2014/main" id="{00000000-0008-0000-0700-000001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27</xdr:row>
          <xdr:rowOff>95250</xdr:rowOff>
        </xdr:from>
        <xdr:to>
          <xdr:col>1</xdr:col>
          <xdr:colOff>1143000</xdr:colOff>
          <xdr:row>27</xdr:row>
          <xdr:rowOff>438150</xdr:rowOff>
        </xdr:to>
        <xdr:sp macro="" textlink="">
          <xdr:nvSpPr>
            <xdr:cNvPr id="25602" name="Object 2" hidden="1">
              <a:extLst>
                <a:ext uri="{63B3BB69-23CF-44E3-9099-C40C66FF867C}">
                  <a14:compatExt spid="_x0000_s25602"/>
                </a:ext>
                <a:ext uri="{FF2B5EF4-FFF2-40B4-BE49-F238E27FC236}">
                  <a16:creationId xmlns:a16="http://schemas.microsoft.com/office/drawing/2014/main" id="{00000000-0008-0000-0700-000002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29</xdr:row>
          <xdr:rowOff>57150</xdr:rowOff>
        </xdr:from>
        <xdr:to>
          <xdr:col>1</xdr:col>
          <xdr:colOff>1123950</xdr:colOff>
          <xdr:row>29</xdr:row>
          <xdr:rowOff>438150</xdr:rowOff>
        </xdr:to>
        <xdr:sp macro="" textlink="">
          <xdr:nvSpPr>
            <xdr:cNvPr id="25603" name="Object 3" hidden="1">
              <a:extLst>
                <a:ext uri="{63B3BB69-23CF-44E3-9099-C40C66FF867C}">
                  <a14:compatExt spid="_x0000_s25603"/>
                </a:ext>
                <a:ext uri="{FF2B5EF4-FFF2-40B4-BE49-F238E27FC236}">
                  <a16:creationId xmlns:a16="http://schemas.microsoft.com/office/drawing/2014/main" id="{00000000-0008-0000-0700-000003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30</xdr:row>
          <xdr:rowOff>28575</xdr:rowOff>
        </xdr:from>
        <xdr:to>
          <xdr:col>1</xdr:col>
          <xdr:colOff>1047750</xdr:colOff>
          <xdr:row>30</xdr:row>
          <xdr:rowOff>476250</xdr:rowOff>
        </xdr:to>
        <xdr:sp macro="" textlink="">
          <xdr:nvSpPr>
            <xdr:cNvPr id="25604" name="Object 4" hidden="1">
              <a:extLst>
                <a:ext uri="{63B3BB69-23CF-44E3-9099-C40C66FF867C}">
                  <a14:compatExt spid="_x0000_s25604"/>
                </a:ext>
                <a:ext uri="{FF2B5EF4-FFF2-40B4-BE49-F238E27FC236}">
                  <a16:creationId xmlns:a16="http://schemas.microsoft.com/office/drawing/2014/main" id="{00000000-0008-0000-0700-000004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742950</xdr:colOff>
          <xdr:row>39</xdr:row>
          <xdr:rowOff>171450</xdr:rowOff>
        </xdr:from>
        <xdr:to>
          <xdr:col>1</xdr:col>
          <xdr:colOff>1047750</xdr:colOff>
          <xdr:row>40</xdr:row>
          <xdr:rowOff>504825</xdr:rowOff>
        </xdr:to>
        <xdr:sp macro="" textlink="">
          <xdr:nvSpPr>
            <xdr:cNvPr id="25605" name="Object 5" hidden="1">
              <a:extLst>
                <a:ext uri="{63B3BB69-23CF-44E3-9099-C40C66FF867C}">
                  <a14:compatExt spid="_x0000_s25605"/>
                </a:ext>
                <a:ext uri="{FF2B5EF4-FFF2-40B4-BE49-F238E27FC236}">
                  <a16:creationId xmlns:a16="http://schemas.microsoft.com/office/drawing/2014/main" id="{00000000-0008-0000-0700-000005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42</xdr:row>
          <xdr:rowOff>38100</xdr:rowOff>
        </xdr:from>
        <xdr:to>
          <xdr:col>1</xdr:col>
          <xdr:colOff>1104900</xdr:colOff>
          <xdr:row>42</xdr:row>
          <xdr:rowOff>504825</xdr:rowOff>
        </xdr:to>
        <xdr:sp macro="" textlink="">
          <xdr:nvSpPr>
            <xdr:cNvPr id="25606" name="Object 6" hidden="1">
              <a:extLst>
                <a:ext uri="{63B3BB69-23CF-44E3-9099-C40C66FF867C}">
                  <a14:compatExt spid="_x0000_s25606"/>
                </a:ext>
                <a:ext uri="{FF2B5EF4-FFF2-40B4-BE49-F238E27FC236}">
                  <a16:creationId xmlns:a16="http://schemas.microsoft.com/office/drawing/2014/main" id="{00000000-0008-0000-0700-000006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52</xdr:row>
          <xdr:rowOff>180975</xdr:rowOff>
        </xdr:from>
        <xdr:to>
          <xdr:col>1</xdr:col>
          <xdr:colOff>1066800</xdr:colOff>
          <xdr:row>54</xdr:row>
          <xdr:rowOff>57150</xdr:rowOff>
        </xdr:to>
        <xdr:sp macro="" textlink="">
          <xdr:nvSpPr>
            <xdr:cNvPr id="25607" name="Object 7" hidden="1">
              <a:extLst>
                <a:ext uri="{63B3BB69-23CF-44E3-9099-C40C66FF867C}">
                  <a14:compatExt spid="_x0000_s25607"/>
                </a:ext>
                <a:ext uri="{FF2B5EF4-FFF2-40B4-BE49-F238E27FC236}">
                  <a16:creationId xmlns:a16="http://schemas.microsoft.com/office/drawing/2014/main" id="{00000000-0008-0000-0700-000007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647700</xdr:colOff>
          <xdr:row>54</xdr:row>
          <xdr:rowOff>66675</xdr:rowOff>
        </xdr:from>
        <xdr:to>
          <xdr:col>1</xdr:col>
          <xdr:colOff>1038225</xdr:colOff>
          <xdr:row>54</xdr:row>
          <xdr:rowOff>485775</xdr:rowOff>
        </xdr:to>
        <xdr:sp macro="" textlink="">
          <xdr:nvSpPr>
            <xdr:cNvPr id="25608" name="Object 8" hidden="1">
              <a:extLst>
                <a:ext uri="{63B3BB69-23CF-44E3-9099-C40C66FF867C}">
                  <a14:compatExt spid="_x0000_s25608"/>
                </a:ext>
                <a:ext uri="{FF2B5EF4-FFF2-40B4-BE49-F238E27FC236}">
                  <a16:creationId xmlns:a16="http://schemas.microsoft.com/office/drawing/2014/main" id="{00000000-0008-0000-0700-000008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609600</xdr:colOff>
          <xdr:row>57</xdr:row>
          <xdr:rowOff>95250</xdr:rowOff>
        </xdr:from>
        <xdr:to>
          <xdr:col>1</xdr:col>
          <xdr:colOff>1143000</xdr:colOff>
          <xdr:row>57</xdr:row>
          <xdr:rowOff>438150</xdr:rowOff>
        </xdr:to>
        <xdr:sp macro="" textlink="">
          <xdr:nvSpPr>
            <xdr:cNvPr id="25609" name="Object 9" hidden="1">
              <a:extLst>
                <a:ext uri="{63B3BB69-23CF-44E3-9099-C40C66FF867C}">
                  <a14:compatExt spid="_x0000_s25609"/>
                </a:ext>
                <a:ext uri="{FF2B5EF4-FFF2-40B4-BE49-F238E27FC236}">
                  <a16:creationId xmlns:a16="http://schemas.microsoft.com/office/drawing/2014/main" id="{00000000-0008-0000-0700-000009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58</xdr:row>
          <xdr:rowOff>57150</xdr:rowOff>
        </xdr:from>
        <xdr:to>
          <xdr:col>1</xdr:col>
          <xdr:colOff>1123950</xdr:colOff>
          <xdr:row>58</xdr:row>
          <xdr:rowOff>438150</xdr:rowOff>
        </xdr:to>
        <xdr:sp macro="" textlink="">
          <xdr:nvSpPr>
            <xdr:cNvPr id="25610" name="Object 10" hidden="1">
              <a:extLst>
                <a:ext uri="{63B3BB69-23CF-44E3-9099-C40C66FF867C}">
                  <a14:compatExt spid="_x0000_s25610"/>
                </a:ext>
                <a:ext uri="{FF2B5EF4-FFF2-40B4-BE49-F238E27FC236}">
                  <a16:creationId xmlns:a16="http://schemas.microsoft.com/office/drawing/2014/main" id="{00000000-0008-0000-0700-00000A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60</xdr:row>
          <xdr:rowOff>28575</xdr:rowOff>
        </xdr:from>
        <xdr:to>
          <xdr:col>1</xdr:col>
          <xdr:colOff>1047750</xdr:colOff>
          <xdr:row>60</xdr:row>
          <xdr:rowOff>476250</xdr:rowOff>
        </xdr:to>
        <xdr:sp macro="" textlink="">
          <xdr:nvSpPr>
            <xdr:cNvPr id="25611" name="Object 11" hidden="1">
              <a:extLst>
                <a:ext uri="{63B3BB69-23CF-44E3-9099-C40C66FF867C}">
                  <a14:compatExt spid="_x0000_s25611"/>
                </a:ext>
                <a:ext uri="{FF2B5EF4-FFF2-40B4-BE49-F238E27FC236}">
                  <a16:creationId xmlns:a16="http://schemas.microsoft.com/office/drawing/2014/main" id="{00000000-0008-0000-0700-00000B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69</xdr:row>
          <xdr:rowOff>180975</xdr:rowOff>
        </xdr:from>
        <xdr:to>
          <xdr:col>1</xdr:col>
          <xdr:colOff>1066800</xdr:colOff>
          <xdr:row>71</xdr:row>
          <xdr:rowOff>57150</xdr:rowOff>
        </xdr:to>
        <xdr:sp macro="" textlink="">
          <xdr:nvSpPr>
            <xdr:cNvPr id="25612" name="Object 12" hidden="1">
              <a:extLst>
                <a:ext uri="{63B3BB69-23CF-44E3-9099-C40C66FF867C}">
                  <a14:compatExt spid="_x0000_s25612"/>
                </a:ext>
                <a:ext uri="{FF2B5EF4-FFF2-40B4-BE49-F238E27FC236}">
                  <a16:creationId xmlns:a16="http://schemas.microsoft.com/office/drawing/2014/main" id="{00000000-0008-0000-0700-00000C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628650</xdr:colOff>
          <xdr:row>71</xdr:row>
          <xdr:rowOff>47625</xdr:rowOff>
        </xdr:from>
        <xdr:to>
          <xdr:col>1</xdr:col>
          <xdr:colOff>1047750</xdr:colOff>
          <xdr:row>71</xdr:row>
          <xdr:rowOff>476250</xdr:rowOff>
        </xdr:to>
        <xdr:sp macro="" textlink="">
          <xdr:nvSpPr>
            <xdr:cNvPr id="25613" name="Object 13" hidden="1">
              <a:extLst>
                <a:ext uri="{63B3BB69-23CF-44E3-9099-C40C66FF867C}">
                  <a14:compatExt spid="_x0000_s25613"/>
                </a:ext>
                <a:ext uri="{FF2B5EF4-FFF2-40B4-BE49-F238E27FC236}">
                  <a16:creationId xmlns:a16="http://schemas.microsoft.com/office/drawing/2014/main" id="{00000000-0008-0000-0700-00000D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72</xdr:row>
          <xdr:rowOff>0</xdr:rowOff>
        </xdr:from>
        <xdr:to>
          <xdr:col>1</xdr:col>
          <xdr:colOff>1200150</xdr:colOff>
          <xdr:row>72</xdr:row>
          <xdr:rowOff>466725</xdr:rowOff>
        </xdr:to>
        <xdr:sp macro="" textlink="">
          <xdr:nvSpPr>
            <xdr:cNvPr id="25614" name="Object 14" hidden="1">
              <a:extLst>
                <a:ext uri="{63B3BB69-23CF-44E3-9099-C40C66FF867C}">
                  <a14:compatExt spid="_x0000_s25614"/>
                </a:ext>
                <a:ext uri="{FF2B5EF4-FFF2-40B4-BE49-F238E27FC236}">
                  <a16:creationId xmlns:a16="http://schemas.microsoft.com/office/drawing/2014/main" id="{00000000-0008-0000-0700-00000E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161925</xdr:colOff>
          <xdr:row>82</xdr:row>
          <xdr:rowOff>114300</xdr:rowOff>
        </xdr:from>
        <xdr:to>
          <xdr:col>1</xdr:col>
          <xdr:colOff>1390650</xdr:colOff>
          <xdr:row>82</xdr:row>
          <xdr:rowOff>438150</xdr:rowOff>
        </xdr:to>
        <xdr:sp macro="" textlink="">
          <xdr:nvSpPr>
            <xdr:cNvPr id="25615" name="Object 15" hidden="1">
              <a:extLst>
                <a:ext uri="{63B3BB69-23CF-44E3-9099-C40C66FF867C}">
                  <a14:compatExt spid="_x0000_s25615"/>
                </a:ext>
                <a:ext uri="{FF2B5EF4-FFF2-40B4-BE49-F238E27FC236}">
                  <a16:creationId xmlns:a16="http://schemas.microsoft.com/office/drawing/2014/main" id="{00000000-0008-0000-0700-00000F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314325</xdr:colOff>
          <xdr:row>83</xdr:row>
          <xdr:rowOff>28575</xdr:rowOff>
        </xdr:from>
        <xdr:to>
          <xdr:col>1</xdr:col>
          <xdr:colOff>1314450</xdr:colOff>
          <xdr:row>83</xdr:row>
          <xdr:rowOff>447675</xdr:rowOff>
        </xdr:to>
        <xdr:sp macro="" textlink="">
          <xdr:nvSpPr>
            <xdr:cNvPr id="25616" name="Object 16" hidden="1">
              <a:extLst>
                <a:ext uri="{63B3BB69-23CF-44E3-9099-C40C66FF867C}">
                  <a14:compatExt spid="_x0000_s25616"/>
                </a:ext>
                <a:ext uri="{FF2B5EF4-FFF2-40B4-BE49-F238E27FC236}">
                  <a16:creationId xmlns:a16="http://schemas.microsoft.com/office/drawing/2014/main" id="{00000000-0008-0000-0700-000010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84</xdr:row>
          <xdr:rowOff>38100</xdr:rowOff>
        </xdr:from>
        <xdr:to>
          <xdr:col>1</xdr:col>
          <xdr:colOff>1181100</xdr:colOff>
          <xdr:row>85</xdr:row>
          <xdr:rowOff>0</xdr:rowOff>
        </xdr:to>
        <xdr:sp macro="" textlink="">
          <xdr:nvSpPr>
            <xdr:cNvPr id="25617" name="Object 17" hidden="1">
              <a:extLst>
                <a:ext uri="{63B3BB69-23CF-44E3-9099-C40C66FF867C}">
                  <a14:compatExt spid="_x0000_s25617"/>
                </a:ext>
                <a:ext uri="{FF2B5EF4-FFF2-40B4-BE49-F238E27FC236}">
                  <a16:creationId xmlns:a16="http://schemas.microsoft.com/office/drawing/2014/main" id="{00000000-0008-0000-0700-000011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85</xdr:row>
          <xdr:rowOff>57150</xdr:rowOff>
        </xdr:from>
        <xdr:to>
          <xdr:col>1</xdr:col>
          <xdr:colOff>971550</xdr:colOff>
          <xdr:row>85</xdr:row>
          <xdr:rowOff>485775</xdr:rowOff>
        </xdr:to>
        <xdr:sp macro="" textlink="">
          <xdr:nvSpPr>
            <xdr:cNvPr id="25618" name="Object 18" hidden="1">
              <a:extLst>
                <a:ext uri="{63B3BB69-23CF-44E3-9099-C40C66FF867C}">
                  <a14:compatExt spid="_x0000_s25618"/>
                </a:ext>
                <a:ext uri="{FF2B5EF4-FFF2-40B4-BE49-F238E27FC236}">
                  <a16:creationId xmlns:a16="http://schemas.microsoft.com/office/drawing/2014/main" id="{00000000-0008-0000-0700-000012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447675</xdr:colOff>
          <xdr:row>86</xdr:row>
          <xdr:rowOff>57150</xdr:rowOff>
        </xdr:from>
        <xdr:to>
          <xdr:col>1</xdr:col>
          <xdr:colOff>1123950</xdr:colOff>
          <xdr:row>87</xdr:row>
          <xdr:rowOff>0</xdr:rowOff>
        </xdr:to>
        <xdr:sp macro="" textlink="">
          <xdr:nvSpPr>
            <xdr:cNvPr id="25619" name="Object 19" hidden="1">
              <a:extLst>
                <a:ext uri="{63B3BB69-23CF-44E3-9099-C40C66FF867C}">
                  <a14:compatExt spid="_x0000_s25619"/>
                </a:ext>
                <a:ext uri="{FF2B5EF4-FFF2-40B4-BE49-F238E27FC236}">
                  <a16:creationId xmlns:a16="http://schemas.microsoft.com/office/drawing/2014/main" id="{00000000-0008-0000-0700-000013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590550</xdr:colOff>
          <xdr:row>87</xdr:row>
          <xdr:rowOff>38100</xdr:rowOff>
        </xdr:from>
        <xdr:to>
          <xdr:col>1</xdr:col>
          <xdr:colOff>990600</xdr:colOff>
          <xdr:row>87</xdr:row>
          <xdr:rowOff>485775</xdr:rowOff>
        </xdr:to>
        <xdr:sp macro="" textlink="">
          <xdr:nvSpPr>
            <xdr:cNvPr id="25620" name="Object 20" hidden="1">
              <a:extLst>
                <a:ext uri="{63B3BB69-23CF-44E3-9099-C40C66FF867C}">
                  <a14:compatExt spid="_x0000_s25620"/>
                </a:ext>
                <a:ext uri="{FF2B5EF4-FFF2-40B4-BE49-F238E27FC236}">
                  <a16:creationId xmlns:a16="http://schemas.microsoft.com/office/drawing/2014/main" id="{00000000-0008-0000-0700-000014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89</xdr:row>
          <xdr:rowOff>28575</xdr:rowOff>
        </xdr:from>
        <xdr:to>
          <xdr:col>1</xdr:col>
          <xdr:colOff>1409700</xdr:colOff>
          <xdr:row>89</xdr:row>
          <xdr:rowOff>457200</xdr:rowOff>
        </xdr:to>
        <xdr:sp macro="" textlink="">
          <xdr:nvSpPr>
            <xdr:cNvPr id="25621" name="Object 21" hidden="1">
              <a:extLst>
                <a:ext uri="{63B3BB69-23CF-44E3-9099-C40C66FF867C}">
                  <a14:compatExt spid="_x0000_s25621"/>
                </a:ext>
                <a:ext uri="{FF2B5EF4-FFF2-40B4-BE49-F238E27FC236}">
                  <a16:creationId xmlns:a16="http://schemas.microsoft.com/office/drawing/2014/main" id="{00000000-0008-0000-0700-000015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97</xdr:row>
          <xdr:rowOff>47625</xdr:rowOff>
        </xdr:from>
        <xdr:to>
          <xdr:col>1</xdr:col>
          <xdr:colOff>1019175</xdr:colOff>
          <xdr:row>97</xdr:row>
          <xdr:rowOff>447675</xdr:rowOff>
        </xdr:to>
        <xdr:sp macro="" textlink="">
          <xdr:nvSpPr>
            <xdr:cNvPr id="25622" name="Object 22" hidden="1">
              <a:extLst>
                <a:ext uri="{63B3BB69-23CF-44E3-9099-C40C66FF867C}">
                  <a14:compatExt spid="_x0000_s25622"/>
                </a:ext>
                <a:ext uri="{FF2B5EF4-FFF2-40B4-BE49-F238E27FC236}">
                  <a16:creationId xmlns:a16="http://schemas.microsoft.com/office/drawing/2014/main" id="{00000000-0008-0000-0700-000016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666750</xdr:colOff>
          <xdr:row>96</xdr:row>
          <xdr:rowOff>57150</xdr:rowOff>
        </xdr:from>
        <xdr:to>
          <xdr:col>1</xdr:col>
          <xdr:colOff>1066800</xdr:colOff>
          <xdr:row>96</xdr:row>
          <xdr:rowOff>457200</xdr:rowOff>
        </xdr:to>
        <xdr:sp macro="" textlink="">
          <xdr:nvSpPr>
            <xdr:cNvPr id="25623" name="Object 23" hidden="1">
              <a:extLst>
                <a:ext uri="{63B3BB69-23CF-44E3-9099-C40C66FF867C}">
                  <a14:compatExt spid="_x0000_s25623"/>
                </a:ext>
                <a:ext uri="{FF2B5EF4-FFF2-40B4-BE49-F238E27FC236}">
                  <a16:creationId xmlns:a16="http://schemas.microsoft.com/office/drawing/2014/main" id="{00000000-0008-0000-0700-000017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323850</xdr:colOff>
          <xdr:row>98</xdr:row>
          <xdr:rowOff>190500</xdr:rowOff>
        </xdr:from>
        <xdr:to>
          <xdr:col>1</xdr:col>
          <xdr:colOff>1362075</xdr:colOff>
          <xdr:row>98</xdr:row>
          <xdr:rowOff>361950</xdr:rowOff>
        </xdr:to>
        <xdr:sp macro="" textlink="">
          <xdr:nvSpPr>
            <xdr:cNvPr id="25624" name="Object 24" hidden="1">
              <a:extLst>
                <a:ext uri="{63B3BB69-23CF-44E3-9099-C40C66FF867C}">
                  <a14:compatExt spid="_x0000_s25624"/>
                </a:ext>
                <a:ext uri="{FF2B5EF4-FFF2-40B4-BE49-F238E27FC236}">
                  <a16:creationId xmlns:a16="http://schemas.microsoft.com/office/drawing/2014/main" id="{00000000-0008-0000-0700-000018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704850</xdr:colOff>
          <xdr:row>100</xdr:row>
          <xdr:rowOff>19050</xdr:rowOff>
        </xdr:from>
        <xdr:to>
          <xdr:col>1</xdr:col>
          <xdr:colOff>1047750</xdr:colOff>
          <xdr:row>100</xdr:row>
          <xdr:rowOff>476250</xdr:rowOff>
        </xdr:to>
        <xdr:sp macro="" textlink="">
          <xdr:nvSpPr>
            <xdr:cNvPr id="25625" name="Object 25" hidden="1">
              <a:extLst>
                <a:ext uri="{63B3BB69-23CF-44E3-9099-C40C66FF867C}">
                  <a14:compatExt spid="_x0000_s25625"/>
                </a:ext>
                <a:ext uri="{FF2B5EF4-FFF2-40B4-BE49-F238E27FC236}">
                  <a16:creationId xmlns:a16="http://schemas.microsoft.com/office/drawing/2014/main" id="{00000000-0008-0000-0700-000019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657225</xdr:colOff>
          <xdr:row>102</xdr:row>
          <xdr:rowOff>0</xdr:rowOff>
        </xdr:from>
        <xdr:to>
          <xdr:col>1</xdr:col>
          <xdr:colOff>1095375</xdr:colOff>
          <xdr:row>102</xdr:row>
          <xdr:rowOff>514350</xdr:rowOff>
        </xdr:to>
        <xdr:sp macro="" textlink="">
          <xdr:nvSpPr>
            <xdr:cNvPr id="25626" name="Object 26" hidden="1">
              <a:extLst>
                <a:ext uri="{63B3BB69-23CF-44E3-9099-C40C66FF867C}">
                  <a14:compatExt spid="_x0000_s25626"/>
                </a:ext>
                <a:ext uri="{FF2B5EF4-FFF2-40B4-BE49-F238E27FC236}">
                  <a16:creationId xmlns:a16="http://schemas.microsoft.com/office/drawing/2014/main" id="{00000000-0008-0000-0700-00001A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476250</xdr:colOff>
          <xdr:row>101</xdr:row>
          <xdr:rowOff>9525</xdr:rowOff>
        </xdr:from>
        <xdr:to>
          <xdr:col>1</xdr:col>
          <xdr:colOff>1247775</xdr:colOff>
          <xdr:row>101</xdr:row>
          <xdr:rowOff>495300</xdr:rowOff>
        </xdr:to>
        <xdr:sp macro="" textlink="">
          <xdr:nvSpPr>
            <xdr:cNvPr id="25627" name="Object 27" hidden="1">
              <a:extLst>
                <a:ext uri="{63B3BB69-23CF-44E3-9099-C40C66FF867C}">
                  <a14:compatExt spid="_x0000_s25627"/>
                </a:ext>
                <a:ext uri="{FF2B5EF4-FFF2-40B4-BE49-F238E27FC236}">
                  <a16:creationId xmlns:a16="http://schemas.microsoft.com/office/drawing/2014/main" id="{00000000-0008-0000-0700-00001B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409575</xdr:colOff>
          <xdr:row>99</xdr:row>
          <xdr:rowOff>19050</xdr:rowOff>
        </xdr:from>
        <xdr:to>
          <xdr:col>1</xdr:col>
          <xdr:colOff>1162050</xdr:colOff>
          <xdr:row>99</xdr:row>
          <xdr:rowOff>485775</xdr:rowOff>
        </xdr:to>
        <xdr:sp macro="" textlink="">
          <xdr:nvSpPr>
            <xdr:cNvPr id="25628" name="Object 28" hidden="1">
              <a:extLst>
                <a:ext uri="{63B3BB69-23CF-44E3-9099-C40C66FF867C}">
                  <a14:compatExt spid="_x0000_s25628"/>
                </a:ext>
                <a:ext uri="{FF2B5EF4-FFF2-40B4-BE49-F238E27FC236}">
                  <a16:creationId xmlns:a16="http://schemas.microsoft.com/office/drawing/2014/main" id="{00000000-0008-0000-0700-00001C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</xdr:col>
          <xdr:colOff>438150</xdr:colOff>
          <xdr:row>88</xdr:row>
          <xdr:rowOff>0</xdr:rowOff>
        </xdr:from>
        <xdr:to>
          <xdr:col>1</xdr:col>
          <xdr:colOff>1200150</xdr:colOff>
          <xdr:row>88</xdr:row>
          <xdr:rowOff>466725</xdr:rowOff>
        </xdr:to>
        <xdr:sp macro="" textlink="">
          <xdr:nvSpPr>
            <xdr:cNvPr id="25629" name="Object 29" hidden="1">
              <a:extLst>
                <a:ext uri="{63B3BB69-23CF-44E3-9099-C40C66FF867C}">
                  <a14:compatExt spid="_x0000_s25629"/>
                </a:ext>
                <a:ext uri="{FF2B5EF4-FFF2-40B4-BE49-F238E27FC236}">
                  <a16:creationId xmlns:a16="http://schemas.microsoft.com/office/drawing/2014/main" id="{00000000-0008-0000-0700-00001D6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184141</xdr:colOff>
      <xdr:row>0</xdr:row>
      <xdr:rowOff>277092</xdr:rowOff>
    </xdr:from>
    <xdr:to>
      <xdr:col>10</xdr:col>
      <xdr:colOff>996373</xdr:colOff>
      <xdr:row>12</xdr:row>
      <xdr:rowOff>242456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.wmf"/><Relationship Id="rId18" Type="http://schemas.openxmlformats.org/officeDocument/2006/relationships/oleObject" Target="../embeddings/oleObject124.bin"/><Relationship Id="rId26" Type="http://schemas.openxmlformats.org/officeDocument/2006/relationships/oleObject" Target="../embeddings/oleObject130.bin"/><Relationship Id="rId39" Type="http://schemas.openxmlformats.org/officeDocument/2006/relationships/oleObject" Target="../embeddings/oleObject137.bin"/><Relationship Id="rId21" Type="http://schemas.openxmlformats.org/officeDocument/2006/relationships/oleObject" Target="../embeddings/oleObject126.bin"/><Relationship Id="rId34" Type="http://schemas.openxmlformats.org/officeDocument/2006/relationships/oleObject" Target="../embeddings/oleObject134.bin"/><Relationship Id="rId42" Type="http://schemas.openxmlformats.org/officeDocument/2006/relationships/image" Target="../media/image16.wmf"/><Relationship Id="rId47" Type="http://schemas.openxmlformats.org/officeDocument/2006/relationships/oleObject" Target="../embeddings/oleObject141.bin"/><Relationship Id="rId50" Type="http://schemas.openxmlformats.org/officeDocument/2006/relationships/image" Target="../media/image20.wmf"/><Relationship Id="rId55" Type="http://schemas.openxmlformats.org/officeDocument/2006/relationships/oleObject" Target="../embeddings/oleObject145.bin"/><Relationship Id="rId7" Type="http://schemas.openxmlformats.org/officeDocument/2006/relationships/image" Target="../media/image4.wmf"/><Relationship Id="rId2" Type="http://schemas.openxmlformats.org/officeDocument/2006/relationships/drawing" Target="../drawings/drawing10.xml"/><Relationship Id="rId16" Type="http://schemas.openxmlformats.org/officeDocument/2006/relationships/oleObject" Target="../embeddings/oleObject123.bin"/><Relationship Id="rId29" Type="http://schemas.openxmlformats.org/officeDocument/2006/relationships/image" Target="../media/image10.wmf"/><Relationship Id="rId11" Type="http://schemas.openxmlformats.org/officeDocument/2006/relationships/image" Target="../media/image6.wmf"/><Relationship Id="rId24" Type="http://schemas.openxmlformats.org/officeDocument/2006/relationships/oleObject" Target="../embeddings/oleObject129.bin"/><Relationship Id="rId32" Type="http://schemas.openxmlformats.org/officeDocument/2006/relationships/oleObject" Target="../embeddings/oleObject133.bin"/><Relationship Id="rId37" Type="http://schemas.openxmlformats.org/officeDocument/2006/relationships/image" Target="../media/image14.wmf"/><Relationship Id="rId40" Type="http://schemas.openxmlformats.org/officeDocument/2006/relationships/image" Target="../media/image15.wmf"/><Relationship Id="rId45" Type="http://schemas.openxmlformats.org/officeDocument/2006/relationships/oleObject" Target="../embeddings/oleObject140.bin"/><Relationship Id="rId53" Type="http://schemas.openxmlformats.org/officeDocument/2006/relationships/oleObject" Target="../embeddings/oleObject144.bin"/><Relationship Id="rId5" Type="http://schemas.openxmlformats.org/officeDocument/2006/relationships/image" Target="../media/image1.wmf"/><Relationship Id="rId10" Type="http://schemas.openxmlformats.org/officeDocument/2006/relationships/oleObject" Target="../embeddings/oleObject120.bin"/><Relationship Id="rId19" Type="http://schemas.openxmlformats.org/officeDocument/2006/relationships/image" Target="../media/image8.wmf"/><Relationship Id="rId31" Type="http://schemas.openxmlformats.org/officeDocument/2006/relationships/image" Target="../media/image11.wmf"/><Relationship Id="rId44" Type="http://schemas.openxmlformats.org/officeDocument/2006/relationships/image" Target="../media/image17.wmf"/><Relationship Id="rId52" Type="http://schemas.openxmlformats.org/officeDocument/2006/relationships/image" Target="../media/image21.wmf"/><Relationship Id="rId4" Type="http://schemas.openxmlformats.org/officeDocument/2006/relationships/oleObject" Target="../embeddings/oleObject117.bin"/><Relationship Id="rId9" Type="http://schemas.openxmlformats.org/officeDocument/2006/relationships/image" Target="../media/image5.wmf"/><Relationship Id="rId14" Type="http://schemas.openxmlformats.org/officeDocument/2006/relationships/oleObject" Target="../embeddings/oleObject122.bin"/><Relationship Id="rId22" Type="http://schemas.openxmlformats.org/officeDocument/2006/relationships/oleObject" Target="../embeddings/oleObject127.bin"/><Relationship Id="rId27" Type="http://schemas.openxmlformats.org/officeDocument/2006/relationships/image" Target="../media/image23.wmf"/><Relationship Id="rId30" Type="http://schemas.openxmlformats.org/officeDocument/2006/relationships/oleObject" Target="../embeddings/oleObject132.bin"/><Relationship Id="rId35" Type="http://schemas.openxmlformats.org/officeDocument/2006/relationships/image" Target="../media/image13.wmf"/><Relationship Id="rId43" Type="http://schemas.openxmlformats.org/officeDocument/2006/relationships/oleObject" Target="../embeddings/oleObject139.bin"/><Relationship Id="rId48" Type="http://schemas.openxmlformats.org/officeDocument/2006/relationships/image" Target="../media/image19.wmf"/><Relationship Id="rId8" Type="http://schemas.openxmlformats.org/officeDocument/2006/relationships/oleObject" Target="../embeddings/oleObject119.bin"/><Relationship Id="rId51" Type="http://schemas.openxmlformats.org/officeDocument/2006/relationships/oleObject" Target="../embeddings/oleObject143.bin"/><Relationship Id="rId3" Type="http://schemas.openxmlformats.org/officeDocument/2006/relationships/vmlDrawing" Target="../drawings/vmlDrawing5.vml"/><Relationship Id="rId12" Type="http://schemas.openxmlformats.org/officeDocument/2006/relationships/oleObject" Target="../embeddings/oleObject121.bin"/><Relationship Id="rId17" Type="http://schemas.openxmlformats.org/officeDocument/2006/relationships/image" Target="../media/image7.wmf"/><Relationship Id="rId25" Type="http://schemas.openxmlformats.org/officeDocument/2006/relationships/image" Target="../media/image9.wmf"/><Relationship Id="rId33" Type="http://schemas.openxmlformats.org/officeDocument/2006/relationships/image" Target="../media/image12.wmf"/><Relationship Id="rId38" Type="http://schemas.openxmlformats.org/officeDocument/2006/relationships/oleObject" Target="../embeddings/oleObject136.bin"/><Relationship Id="rId46" Type="http://schemas.openxmlformats.org/officeDocument/2006/relationships/image" Target="../media/image18.wmf"/><Relationship Id="rId20" Type="http://schemas.openxmlformats.org/officeDocument/2006/relationships/oleObject" Target="../embeddings/oleObject125.bin"/><Relationship Id="rId41" Type="http://schemas.openxmlformats.org/officeDocument/2006/relationships/oleObject" Target="../embeddings/oleObject138.bin"/><Relationship Id="rId54" Type="http://schemas.openxmlformats.org/officeDocument/2006/relationships/image" Target="../media/image22.wmf"/><Relationship Id="rId1" Type="http://schemas.openxmlformats.org/officeDocument/2006/relationships/printerSettings" Target="../printerSettings/printerSettings10.bin"/><Relationship Id="rId6" Type="http://schemas.openxmlformats.org/officeDocument/2006/relationships/oleObject" Target="../embeddings/oleObject118.bin"/><Relationship Id="rId15" Type="http://schemas.openxmlformats.org/officeDocument/2006/relationships/image" Target="../media/image3.wmf"/><Relationship Id="rId23" Type="http://schemas.openxmlformats.org/officeDocument/2006/relationships/oleObject" Target="../embeddings/oleObject128.bin"/><Relationship Id="rId28" Type="http://schemas.openxmlformats.org/officeDocument/2006/relationships/oleObject" Target="../embeddings/oleObject131.bin"/><Relationship Id="rId36" Type="http://schemas.openxmlformats.org/officeDocument/2006/relationships/oleObject" Target="../embeddings/oleObject135.bin"/><Relationship Id="rId49" Type="http://schemas.openxmlformats.org/officeDocument/2006/relationships/oleObject" Target="../embeddings/oleObject142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wmf"/><Relationship Id="rId18" Type="http://schemas.openxmlformats.org/officeDocument/2006/relationships/oleObject" Target="../embeddings/oleObject8.bin"/><Relationship Id="rId26" Type="http://schemas.openxmlformats.org/officeDocument/2006/relationships/oleObject" Target="../embeddings/oleObject14.bin"/><Relationship Id="rId39" Type="http://schemas.openxmlformats.org/officeDocument/2006/relationships/oleObject" Target="../embeddings/oleObject21.bin"/><Relationship Id="rId21" Type="http://schemas.openxmlformats.org/officeDocument/2006/relationships/oleObject" Target="../embeddings/oleObject10.bin"/><Relationship Id="rId34" Type="http://schemas.openxmlformats.org/officeDocument/2006/relationships/oleObject" Target="../embeddings/oleObject18.bin"/><Relationship Id="rId42" Type="http://schemas.openxmlformats.org/officeDocument/2006/relationships/image" Target="../media/image17.wmf"/><Relationship Id="rId47" Type="http://schemas.openxmlformats.org/officeDocument/2006/relationships/oleObject" Target="../embeddings/oleObject25.bin"/><Relationship Id="rId50" Type="http://schemas.openxmlformats.org/officeDocument/2006/relationships/image" Target="../media/image21.wmf"/><Relationship Id="rId55" Type="http://schemas.openxmlformats.org/officeDocument/2006/relationships/oleObject" Target="../embeddings/oleObject29.bin"/><Relationship Id="rId7" Type="http://schemas.openxmlformats.org/officeDocument/2006/relationships/image" Target="../media/image2.wmf"/><Relationship Id="rId2" Type="http://schemas.openxmlformats.org/officeDocument/2006/relationships/drawing" Target="../drawings/drawing2.xml"/><Relationship Id="rId16" Type="http://schemas.openxmlformats.org/officeDocument/2006/relationships/oleObject" Target="../embeddings/oleObject7.bin"/><Relationship Id="rId29" Type="http://schemas.openxmlformats.org/officeDocument/2006/relationships/image" Target="../media/image11.wmf"/><Relationship Id="rId11" Type="http://schemas.openxmlformats.org/officeDocument/2006/relationships/image" Target="../media/image4.wmf"/><Relationship Id="rId24" Type="http://schemas.openxmlformats.org/officeDocument/2006/relationships/oleObject" Target="../embeddings/oleObject13.bin"/><Relationship Id="rId32" Type="http://schemas.openxmlformats.org/officeDocument/2006/relationships/oleObject" Target="../embeddings/oleObject17.bin"/><Relationship Id="rId37" Type="http://schemas.openxmlformats.org/officeDocument/2006/relationships/oleObject" Target="../embeddings/oleObject20.bin"/><Relationship Id="rId40" Type="http://schemas.openxmlformats.org/officeDocument/2006/relationships/image" Target="../media/image16.wmf"/><Relationship Id="rId45" Type="http://schemas.openxmlformats.org/officeDocument/2006/relationships/oleObject" Target="../embeddings/oleObject24.bin"/><Relationship Id="rId53" Type="http://schemas.openxmlformats.org/officeDocument/2006/relationships/oleObject" Target="../embeddings/oleObject28.bin"/><Relationship Id="rId5" Type="http://schemas.openxmlformats.org/officeDocument/2006/relationships/image" Target="../media/image1.w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wmf"/><Relationship Id="rId31" Type="http://schemas.openxmlformats.org/officeDocument/2006/relationships/image" Target="../media/image12.wmf"/><Relationship Id="rId44" Type="http://schemas.openxmlformats.org/officeDocument/2006/relationships/image" Target="../media/image18.wmf"/><Relationship Id="rId52" Type="http://schemas.openxmlformats.org/officeDocument/2006/relationships/image" Target="../media/image22.w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w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1.bin"/><Relationship Id="rId27" Type="http://schemas.openxmlformats.org/officeDocument/2006/relationships/image" Target="../media/image10.wmf"/><Relationship Id="rId30" Type="http://schemas.openxmlformats.org/officeDocument/2006/relationships/oleObject" Target="../embeddings/oleObject16.bin"/><Relationship Id="rId35" Type="http://schemas.openxmlformats.org/officeDocument/2006/relationships/image" Target="../media/image14.wmf"/><Relationship Id="rId43" Type="http://schemas.openxmlformats.org/officeDocument/2006/relationships/oleObject" Target="../embeddings/oleObject23.bin"/><Relationship Id="rId48" Type="http://schemas.openxmlformats.org/officeDocument/2006/relationships/image" Target="../media/image20.wmf"/><Relationship Id="rId8" Type="http://schemas.openxmlformats.org/officeDocument/2006/relationships/oleObject" Target="../embeddings/oleObject3.bin"/><Relationship Id="rId51" Type="http://schemas.openxmlformats.org/officeDocument/2006/relationships/oleObject" Target="../embeddings/oleObject27.bin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wmf"/><Relationship Id="rId25" Type="http://schemas.openxmlformats.org/officeDocument/2006/relationships/image" Target="../media/image9.wmf"/><Relationship Id="rId33" Type="http://schemas.openxmlformats.org/officeDocument/2006/relationships/image" Target="../media/image13.wmf"/><Relationship Id="rId38" Type="http://schemas.openxmlformats.org/officeDocument/2006/relationships/image" Target="../media/image15.wmf"/><Relationship Id="rId46" Type="http://schemas.openxmlformats.org/officeDocument/2006/relationships/image" Target="../media/image19.wmf"/><Relationship Id="rId20" Type="http://schemas.openxmlformats.org/officeDocument/2006/relationships/oleObject" Target="../embeddings/oleObject9.bin"/><Relationship Id="rId41" Type="http://schemas.openxmlformats.org/officeDocument/2006/relationships/oleObject" Target="../embeddings/oleObject22.bin"/><Relationship Id="rId54" Type="http://schemas.openxmlformats.org/officeDocument/2006/relationships/image" Target="../media/image23.wmf"/><Relationship Id="rId1" Type="http://schemas.openxmlformats.org/officeDocument/2006/relationships/printerSettings" Target="../printerSettings/printerSettings2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wmf"/><Relationship Id="rId23" Type="http://schemas.openxmlformats.org/officeDocument/2006/relationships/oleObject" Target="../embeddings/oleObject12.bin"/><Relationship Id="rId28" Type="http://schemas.openxmlformats.org/officeDocument/2006/relationships/oleObject" Target="../embeddings/oleObject15.bin"/><Relationship Id="rId36" Type="http://schemas.openxmlformats.org/officeDocument/2006/relationships/oleObject" Target="../embeddings/oleObject19.bin"/><Relationship Id="rId49" Type="http://schemas.openxmlformats.org/officeDocument/2006/relationships/oleObject" Target="../embeddings/oleObject26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.wmf"/><Relationship Id="rId18" Type="http://schemas.openxmlformats.org/officeDocument/2006/relationships/oleObject" Target="../embeddings/oleObject37.bin"/><Relationship Id="rId26" Type="http://schemas.openxmlformats.org/officeDocument/2006/relationships/oleObject" Target="../embeddings/oleObject43.bin"/><Relationship Id="rId39" Type="http://schemas.openxmlformats.org/officeDocument/2006/relationships/oleObject" Target="../embeddings/oleObject50.bin"/><Relationship Id="rId21" Type="http://schemas.openxmlformats.org/officeDocument/2006/relationships/oleObject" Target="../embeddings/oleObject39.bin"/><Relationship Id="rId34" Type="http://schemas.openxmlformats.org/officeDocument/2006/relationships/oleObject" Target="../embeddings/oleObject47.bin"/><Relationship Id="rId42" Type="http://schemas.openxmlformats.org/officeDocument/2006/relationships/image" Target="../media/image16.wmf"/><Relationship Id="rId47" Type="http://schemas.openxmlformats.org/officeDocument/2006/relationships/oleObject" Target="../embeddings/oleObject54.bin"/><Relationship Id="rId50" Type="http://schemas.openxmlformats.org/officeDocument/2006/relationships/image" Target="../media/image20.wmf"/><Relationship Id="rId55" Type="http://schemas.openxmlformats.org/officeDocument/2006/relationships/oleObject" Target="../embeddings/oleObject58.bin"/><Relationship Id="rId7" Type="http://schemas.openxmlformats.org/officeDocument/2006/relationships/image" Target="../media/image4.wmf"/><Relationship Id="rId2" Type="http://schemas.openxmlformats.org/officeDocument/2006/relationships/drawing" Target="../drawings/drawing4.xml"/><Relationship Id="rId16" Type="http://schemas.openxmlformats.org/officeDocument/2006/relationships/oleObject" Target="../embeddings/oleObject36.bin"/><Relationship Id="rId29" Type="http://schemas.openxmlformats.org/officeDocument/2006/relationships/image" Target="../media/image10.wmf"/><Relationship Id="rId11" Type="http://schemas.openxmlformats.org/officeDocument/2006/relationships/image" Target="../media/image6.wmf"/><Relationship Id="rId24" Type="http://schemas.openxmlformats.org/officeDocument/2006/relationships/oleObject" Target="../embeddings/oleObject42.bin"/><Relationship Id="rId32" Type="http://schemas.openxmlformats.org/officeDocument/2006/relationships/oleObject" Target="../embeddings/oleObject46.bin"/><Relationship Id="rId37" Type="http://schemas.openxmlformats.org/officeDocument/2006/relationships/image" Target="../media/image14.wmf"/><Relationship Id="rId40" Type="http://schemas.openxmlformats.org/officeDocument/2006/relationships/image" Target="../media/image15.wmf"/><Relationship Id="rId45" Type="http://schemas.openxmlformats.org/officeDocument/2006/relationships/oleObject" Target="../embeddings/oleObject53.bin"/><Relationship Id="rId53" Type="http://schemas.openxmlformats.org/officeDocument/2006/relationships/oleObject" Target="../embeddings/oleObject57.bin"/><Relationship Id="rId5" Type="http://schemas.openxmlformats.org/officeDocument/2006/relationships/image" Target="../media/image1.wmf"/><Relationship Id="rId10" Type="http://schemas.openxmlformats.org/officeDocument/2006/relationships/oleObject" Target="../embeddings/oleObject33.bin"/><Relationship Id="rId19" Type="http://schemas.openxmlformats.org/officeDocument/2006/relationships/image" Target="../media/image8.wmf"/><Relationship Id="rId31" Type="http://schemas.openxmlformats.org/officeDocument/2006/relationships/image" Target="../media/image11.wmf"/><Relationship Id="rId44" Type="http://schemas.openxmlformats.org/officeDocument/2006/relationships/image" Target="../media/image17.wmf"/><Relationship Id="rId52" Type="http://schemas.openxmlformats.org/officeDocument/2006/relationships/image" Target="../media/image21.wmf"/><Relationship Id="rId4" Type="http://schemas.openxmlformats.org/officeDocument/2006/relationships/oleObject" Target="../embeddings/oleObject30.bin"/><Relationship Id="rId9" Type="http://schemas.openxmlformats.org/officeDocument/2006/relationships/image" Target="../media/image5.wmf"/><Relationship Id="rId14" Type="http://schemas.openxmlformats.org/officeDocument/2006/relationships/oleObject" Target="../embeddings/oleObject35.bin"/><Relationship Id="rId22" Type="http://schemas.openxmlformats.org/officeDocument/2006/relationships/oleObject" Target="../embeddings/oleObject40.bin"/><Relationship Id="rId27" Type="http://schemas.openxmlformats.org/officeDocument/2006/relationships/image" Target="../media/image23.wmf"/><Relationship Id="rId30" Type="http://schemas.openxmlformats.org/officeDocument/2006/relationships/oleObject" Target="../embeddings/oleObject45.bin"/><Relationship Id="rId35" Type="http://schemas.openxmlformats.org/officeDocument/2006/relationships/image" Target="../media/image13.wmf"/><Relationship Id="rId43" Type="http://schemas.openxmlformats.org/officeDocument/2006/relationships/oleObject" Target="../embeddings/oleObject52.bin"/><Relationship Id="rId48" Type="http://schemas.openxmlformats.org/officeDocument/2006/relationships/image" Target="../media/image19.wmf"/><Relationship Id="rId8" Type="http://schemas.openxmlformats.org/officeDocument/2006/relationships/oleObject" Target="../embeddings/oleObject32.bin"/><Relationship Id="rId51" Type="http://schemas.openxmlformats.org/officeDocument/2006/relationships/oleObject" Target="../embeddings/oleObject56.bin"/><Relationship Id="rId3" Type="http://schemas.openxmlformats.org/officeDocument/2006/relationships/vmlDrawing" Target="../drawings/vmlDrawing2.vml"/><Relationship Id="rId12" Type="http://schemas.openxmlformats.org/officeDocument/2006/relationships/oleObject" Target="../embeddings/oleObject34.bin"/><Relationship Id="rId17" Type="http://schemas.openxmlformats.org/officeDocument/2006/relationships/image" Target="../media/image7.wmf"/><Relationship Id="rId25" Type="http://schemas.openxmlformats.org/officeDocument/2006/relationships/image" Target="../media/image9.wmf"/><Relationship Id="rId33" Type="http://schemas.openxmlformats.org/officeDocument/2006/relationships/image" Target="../media/image12.wmf"/><Relationship Id="rId38" Type="http://schemas.openxmlformats.org/officeDocument/2006/relationships/oleObject" Target="../embeddings/oleObject49.bin"/><Relationship Id="rId46" Type="http://schemas.openxmlformats.org/officeDocument/2006/relationships/image" Target="../media/image18.wmf"/><Relationship Id="rId20" Type="http://schemas.openxmlformats.org/officeDocument/2006/relationships/oleObject" Target="../embeddings/oleObject38.bin"/><Relationship Id="rId41" Type="http://schemas.openxmlformats.org/officeDocument/2006/relationships/oleObject" Target="../embeddings/oleObject51.bin"/><Relationship Id="rId54" Type="http://schemas.openxmlformats.org/officeDocument/2006/relationships/image" Target="../media/image22.wmf"/><Relationship Id="rId1" Type="http://schemas.openxmlformats.org/officeDocument/2006/relationships/printerSettings" Target="../printerSettings/printerSettings4.bin"/><Relationship Id="rId6" Type="http://schemas.openxmlformats.org/officeDocument/2006/relationships/oleObject" Target="../embeddings/oleObject31.bin"/><Relationship Id="rId15" Type="http://schemas.openxmlformats.org/officeDocument/2006/relationships/image" Target="../media/image3.wmf"/><Relationship Id="rId23" Type="http://schemas.openxmlformats.org/officeDocument/2006/relationships/oleObject" Target="../embeddings/oleObject41.bin"/><Relationship Id="rId28" Type="http://schemas.openxmlformats.org/officeDocument/2006/relationships/oleObject" Target="../embeddings/oleObject44.bin"/><Relationship Id="rId36" Type="http://schemas.openxmlformats.org/officeDocument/2006/relationships/oleObject" Target="../embeddings/oleObject48.bin"/><Relationship Id="rId49" Type="http://schemas.openxmlformats.org/officeDocument/2006/relationships/oleObject" Target="../embeddings/oleObject55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.wmf"/><Relationship Id="rId18" Type="http://schemas.openxmlformats.org/officeDocument/2006/relationships/oleObject" Target="../embeddings/oleObject66.bin"/><Relationship Id="rId26" Type="http://schemas.openxmlformats.org/officeDocument/2006/relationships/oleObject" Target="../embeddings/oleObject72.bin"/><Relationship Id="rId39" Type="http://schemas.openxmlformats.org/officeDocument/2006/relationships/oleObject" Target="../embeddings/oleObject79.bin"/><Relationship Id="rId21" Type="http://schemas.openxmlformats.org/officeDocument/2006/relationships/oleObject" Target="../embeddings/oleObject68.bin"/><Relationship Id="rId34" Type="http://schemas.openxmlformats.org/officeDocument/2006/relationships/oleObject" Target="../embeddings/oleObject76.bin"/><Relationship Id="rId42" Type="http://schemas.openxmlformats.org/officeDocument/2006/relationships/image" Target="../media/image16.wmf"/><Relationship Id="rId47" Type="http://schemas.openxmlformats.org/officeDocument/2006/relationships/oleObject" Target="../embeddings/oleObject83.bin"/><Relationship Id="rId50" Type="http://schemas.openxmlformats.org/officeDocument/2006/relationships/image" Target="../media/image20.wmf"/><Relationship Id="rId55" Type="http://schemas.openxmlformats.org/officeDocument/2006/relationships/oleObject" Target="../embeddings/oleObject87.bin"/><Relationship Id="rId7" Type="http://schemas.openxmlformats.org/officeDocument/2006/relationships/image" Target="../media/image4.wmf"/><Relationship Id="rId2" Type="http://schemas.openxmlformats.org/officeDocument/2006/relationships/drawing" Target="../drawings/drawing6.xml"/><Relationship Id="rId16" Type="http://schemas.openxmlformats.org/officeDocument/2006/relationships/oleObject" Target="../embeddings/oleObject65.bin"/><Relationship Id="rId29" Type="http://schemas.openxmlformats.org/officeDocument/2006/relationships/image" Target="../media/image10.wmf"/><Relationship Id="rId11" Type="http://schemas.openxmlformats.org/officeDocument/2006/relationships/image" Target="../media/image6.wmf"/><Relationship Id="rId24" Type="http://schemas.openxmlformats.org/officeDocument/2006/relationships/oleObject" Target="../embeddings/oleObject71.bin"/><Relationship Id="rId32" Type="http://schemas.openxmlformats.org/officeDocument/2006/relationships/oleObject" Target="../embeddings/oleObject75.bin"/><Relationship Id="rId37" Type="http://schemas.openxmlformats.org/officeDocument/2006/relationships/image" Target="../media/image14.wmf"/><Relationship Id="rId40" Type="http://schemas.openxmlformats.org/officeDocument/2006/relationships/image" Target="../media/image15.wmf"/><Relationship Id="rId45" Type="http://schemas.openxmlformats.org/officeDocument/2006/relationships/oleObject" Target="../embeddings/oleObject82.bin"/><Relationship Id="rId53" Type="http://schemas.openxmlformats.org/officeDocument/2006/relationships/oleObject" Target="../embeddings/oleObject86.bin"/><Relationship Id="rId5" Type="http://schemas.openxmlformats.org/officeDocument/2006/relationships/image" Target="../media/image1.wmf"/><Relationship Id="rId10" Type="http://schemas.openxmlformats.org/officeDocument/2006/relationships/oleObject" Target="../embeddings/oleObject62.bin"/><Relationship Id="rId19" Type="http://schemas.openxmlformats.org/officeDocument/2006/relationships/image" Target="../media/image8.wmf"/><Relationship Id="rId31" Type="http://schemas.openxmlformats.org/officeDocument/2006/relationships/image" Target="../media/image11.wmf"/><Relationship Id="rId44" Type="http://schemas.openxmlformats.org/officeDocument/2006/relationships/image" Target="../media/image17.wmf"/><Relationship Id="rId52" Type="http://schemas.openxmlformats.org/officeDocument/2006/relationships/image" Target="../media/image21.wmf"/><Relationship Id="rId4" Type="http://schemas.openxmlformats.org/officeDocument/2006/relationships/oleObject" Target="../embeddings/oleObject59.bin"/><Relationship Id="rId9" Type="http://schemas.openxmlformats.org/officeDocument/2006/relationships/image" Target="../media/image5.wmf"/><Relationship Id="rId14" Type="http://schemas.openxmlformats.org/officeDocument/2006/relationships/oleObject" Target="../embeddings/oleObject64.bin"/><Relationship Id="rId22" Type="http://schemas.openxmlformats.org/officeDocument/2006/relationships/oleObject" Target="../embeddings/oleObject69.bin"/><Relationship Id="rId27" Type="http://schemas.openxmlformats.org/officeDocument/2006/relationships/image" Target="../media/image23.wmf"/><Relationship Id="rId30" Type="http://schemas.openxmlformats.org/officeDocument/2006/relationships/oleObject" Target="../embeddings/oleObject74.bin"/><Relationship Id="rId35" Type="http://schemas.openxmlformats.org/officeDocument/2006/relationships/image" Target="../media/image13.wmf"/><Relationship Id="rId43" Type="http://schemas.openxmlformats.org/officeDocument/2006/relationships/oleObject" Target="../embeddings/oleObject81.bin"/><Relationship Id="rId48" Type="http://schemas.openxmlformats.org/officeDocument/2006/relationships/image" Target="../media/image19.wmf"/><Relationship Id="rId8" Type="http://schemas.openxmlformats.org/officeDocument/2006/relationships/oleObject" Target="../embeddings/oleObject61.bin"/><Relationship Id="rId51" Type="http://schemas.openxmlformats.org/officeDocument/2006/relationships/oleObject" Target="../embeddings/oleObject85.bin"/><Relationship Id="rId3" Type="http://schemas.openxmlformats.org/officeDocument/2006/relationships/vmlDrawing" Target="../drawings/vmlDrawing3.vml"/><Relationship Id="rId12" Type="http://schemas.openxmlformats.org/officeDocument/2006/relationships/oleObject" Target="../embeddings/oleObject63.bin"/><Relationship Id="rId17" Type="http://schemas.openxmlformats.org/officeDocument/2006/relationships/image" Target="../media/image7.wmf"/><Relationship Id="rId25" Type="http://schemas.openxmlformats.org/officeDocument/2006/relationships/image" Target="../media/image9.wmf"/><Relationship Id="rId33" Type="http://schemas.openxmlformats.org/officeDocument/2006/relationships/image" Target="../media/image12.wmf"/><Relationship Id="rId38" Type="http://schemas.openxmlformats.org/officeDocument/2006/relationships/oleObject" Target="../embeddings/oleObject78.bin"/><Relationship Id="rId46" Type="http://schemas.openxmlformats.org/officeDocument/2006/relationships/image" Target="../media/image18.wmf"/><Relationship Id="rId20" Type="http://schemas.openxmlformats.org/officeDocument/2006/relationships/oleObject" Target="../embeddings/oleObject67.bin"/><Relationship Id="rId41" Type="http://schemas.openxmlformats.org/officeDocument/2006/relationships/oleObject" Target="../embeddings/oleObject80.bin"/><Relationship Id="rId54" Type="http://schemas.openxmlformats.org/officeDocument/2006/relationships/image" Target="../media/image22.wmf"/><Relationship Id="rId1" Type="http://schemas.openxmlformats.org/officeDocument/2006/relationships/printerSettings" Target="../printerSettings/printerSettings6.bin"/><Relationship Id="rId6" Type="http://schemas.openxmlformats.org/officeDocument/2006/relationships/oleObject" Target="../embeddings/oleObject60.bin"/><Relationship Id="rId15" Type="http://schemas.openxmlformats.org/officeDocument/2006/relationships/image" Target="../media/image3.wmf"/><Relationship Id="rId23" Type="http://schemas.openxmlformats.org/officeDocument/2006/relationships/oleObject" Target="../embeddings/oleObject70.bin"/><Relationship Id="rId28" Type="http://schemas.openxmlformats.org/officeDocument/2006/relationships/oleObject" Target="../embeddings/oleObject73.bin"/><Relationship Id="rId36" Type="http://schemas.openxmlformats.org/officeDocument/2006/relationships/oleObject" Target="../embeddings/oleObject77.bin"/><Relationship Id="rId49" Type="http://schemas.openxmlformats.org/officeDocument/2006/relationships/oleObject" Target="../embeddings/oleObject8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.wmf"/><Relationship Id="rId18" Type="http://schemas.openxmlformats.org/officeDocument/2006/relationships/oleObject" Target="../embeddings/oleObject95.bin"/><Relationship Id="rId26" Type="http://schemas.openxmlformats.org/officeDocument/2006/relationships/oleObject" Target="../embeddings/oleObject101.bin"/><Relationship Id="rId39" Type="http://schemas.openxmlformats.org/officeDocument/2006/relationships/oleObject" Target="../embeddings/oleObject108.bin"/><Relationship Id="rId21" Type="http://schemas.openxmlformats.org/officeDocument/2006/relationships/oleObject" Target="../embeddings/oleObject97.bin"/><Relationship Id="rId34" Type="http://schemas.openxmlformats.org/officeDocument/2006/relationships/oleObject" Target="../embeddings/oleObject105.bin"/><Relationship Id="rId42" Type="http://schemas.openxmlformats.org/officeDocument/2006/relationships/image" Target="../media/image16.wmf"/><Relationship Id="rId47" Type="http://schemas.openxmlformats.org/officeDocument/2006/relationships/oleObject" Target="../embeddings/oleObject112.bin"/><Relationship Id="rId50" Type="http://schemas.openxmlformats.org/officeDocument/2006/relationships/image" Target="../media/image20.wmf"/><Relationship Id="rId55" Type="http://schemas.openxmlformats.org/officeDocument/2006/relationships/oleObject" Target="../embeddings/oleObject116.bin"/><Relationship Id="rId7" Type="http://schemas.openxmlformats.org/officeDocument/2006/relationships/image" Target="../media/image4.wmf"/><Relationship Id="rId2" Type="http://schemas.openxmlformats.org/officeDocument/2006/relationships/drawing" Target="../drawings/drawing8.xml"/><Relationship Id="rId16" Type="http://schemas.openxmlformats.org/officeDocument/2006/relationships/oleObject" Target="../embeddings/oleObject94.bin"/><Relationship Id="rId29" Type="http://schemas.openxmlformats.org/officeDocument/2006/relationships/image" Target="../media/image10.wmf"/><Relationship Id="rId11" Type="http://schemas.openxmlformats.org/officeDocument/2006/relationships/image" Target="../media/image6.wmf"/><Relationship Id="rId24" Type="http://schemas.openxmlformats.org/officeDocument/2006/relationships/oleObject" Target="../embeddings/oleObject100.bin"/><Relationship Id="rId32" Type="http://schemas.openxmlformats.org/officeDocument/2006/relationships/oleObject" Target="../embeddings/oleObject104.bin"/><Relationship Id="rId37" Type="http://schemas.openxmlformats.org/officeDocument/2006/relationships/image" Target="../media/image14.wmf"/><Relationship Id="rId40" Type="http://schemas.openxmlformats.org/officeDocument/2006/relationships/image" Target="../media/image15.wmf"/><Relationship Id="rId45" Type="http://schemas.openxmlformats.org/officeDocument/2006/relationships/oleObject" Target="../embeddings/oleObject111.bin"/><Relationship Id="rId53" Type="http://schemas.openxmlformats.org/officeDocument/2006/relationships/oleObject" Target="../embeddings/oleObject115.bin"/><Relationship Id="rId5" Type="http://schemas.openxmlformats.org/officeDocument/2006/relationships/image" Target="../media/image1.wmf"/><Relationship Id="rId10" Type="http://schemas.openxmlformats.org/officeDocument/2006/relationships/oleObject" Target="../embeddings/oleObject91.bin"/><Relationship Id="rId19" Type="http://schemas.openxmlformats.org/officeDocument/2006/relationships/image" Target="../media/image8.wmf"/><Relationship Id="rId31" Type="http://schemas.openxmlformats.org/officeDocument/2006/relationships/image" Target="../media/image11.wmf"/><Relationship Id="rId44" Type="http://schemas.openxmlformats.org/officeDocument/2006/relationships/image" Target="../media/image17.wmf"/><Relationship Id="rId52" Type="http://schemas.openxmlformats.org/officeDocument/2006/relationships/image" Target="../media/image21.wmf"/><Relationship Id="rId4" Type="http://schemas.openxmlformats.org/officeDocument/2006/relationships/oleObject" Target="../embeddings/oleObject88.bin"/><Relationship Id="rId9" Type="http://schemas.openxmlformats.org/officeDocument/2006/relationships/image" Target="../media/image5.wmf"/><Relationship Id="rId14" Type="http://schemas.openxmlformats.org/officeDocument/2006/relationships/oleObject" Target="../embeddings/oleObject93.bin"/><Relationship Id="rId22" Type="http://schemas.openxmlformats.org/officeDocument/2006/relationships/oleObject" Target="../embeddings/oleObject98.bin"/><Relationship Id="rId27" Type="http://schemas.openxmlformats.org/officeDocument/2006/relationships/image" Target="../media/image23.wmf"/><Relationship Id="rId30" Type="http://schemas.openxmlformats.org/officeDocument/2006/relationships/oleObject" Target="../embeddings/oleObject103.bin"/><Relationship Id="rId35" Type="http://schemas.openxmlformats.org/officeDocument/2006/relationships/image" Target="../media/image13.wmf"/><Relationship Id="rId43" Type="http://schemas.openxmlformats.org/officeDocument/2006/relationships/oleObject" Target="../embeddings/oleObject110.bin"/><Relationship Id="rId48" Type="http://schemas.openxmlformats.org/officeDocument/2006/relationships/image" Target="../media/image19.wmf"/><Relationship Id="rId8" Type="http://schemas.openxmlformats.org/officeDocument/2006/relationships/oleObject" Target="../embeddings/oleObject90.bin"/><Relationship Id="rId51" Type="http://schemas.openxmlformats.org/officeDocument/2006/relationships/oleObject" Target="../embeddings/oleObject114.bin"/><Relationship Id="rId3" Type="http://schemas.openxmlformats.org/officeDocument/2006/relationships/vmlDrawing" Target="../drawings/vmlDrawing4.vml"/><Relationship Id="rId12" Type="http://schemas.openxmlformats.org/officeDocument/2006/relationships/oleObject" Target="../embeddings/oleObject92.bin"/><Relationship Id="rId17" Type="http://schemas.openxmlformats.org/officeDocument/2006/relationships/image" Target="../media/image7.wmf"/><Relationship Id="rId25" Type="http://schemas.openxmlformats.org/officeDocument/2006/relationships/image" Target="../media/image9.wmf"/><Relationship Id="rId33" Type="http://schemas.openxmlformats.org/officeDocument/2006/relationships/image" Target="../media/image12.wmf"/><Relationship Id="rId38" Type="http://schemas.openxmlformats.org/officeDocument/2006/relationships/oleObject" Target="../embeddings/oleObject107.bin"/><Relationship Id="rId46" Type="http://schemas.openxmlformats.org/officeDocument/2006/relationships/image" Target="../media/image18.wmf"/><Relationship Id="rId20" Type="http://schemas.openxmlformats.org/officeDocument/2006/relationships/oleObject" Target="../embeddings/oleObject96.bin"/><Relationship Id="rId41" Type="http://schemas.openxmlformats.org/officeDocument/2006/relationships/oleObject" Target="../embeddings/oleObject109.bin"/><Relationship Id="rId54" Type="http://schemas.openxmlformats.org/officeDocument/2006/relationships/image" Target="../media/image22.wmf"/><Relationship Id="rId1" Type="http://schemas.openxmlformats.org/officeDocument/2006/relationships/printerSettings" Target="../printerSettings/printerSettings8.bin"/><Relationship Id="rId6" Type="http://schemas.openxmlformats.org/officeDocument/2006/relationships/oleObject" Target="../embeddings/oleObject89.bin"/><Relationship Id="rId15" Type="http://schemas.openxmlformats.org/officeDocument/2006/relationships/image" Target="../media/image3.wmf"/><Relationship Id="rId23" Type="http://schemas.openxmlformats.org/officeDocument/2006/relationships/oleObject" Target="../embeddings/oleObject99.bin"/><Relationship Id="rId28" Type="http://schemas.openxmlformats.org/officeDocument/2006/relationships/oleObject" Target="../embeddings/oleObject102.bin"/><Relationship Id="rId36" Type="http://schemas.openxmlformats.org/officeDocument/2006/relationships/oleObject" Target="../embeddings/oleObject106.bin"/><Relationship Id="rId49" Type="http://schemas.openxmlformats.org/officeDocument/2006/relationships/oleObject" Target="../embeddings/oleObject113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A6C65E-9AA2-4340-896E-28E7F4F08504}">
  <dimension ref="A1:AC49"/>
  <sheetViews>
    <sheetView rightToLeft="1" zoomScaleNormal="100" zoomScaleSheetLayoutView="100" workbookViewId="0">
      <selection activeCell="D5" sqref="D5"/>
    </sheetView>
  </sheetViews>
  <sheetFormatPr defaultRowHeight="15" x14ac:dyDescent="0.25"/>
  <cols>
    <col min="1" max="1" width="2.5703125" customWidth="1"/>
    <col min="2" max="2" width="2.7109375" style="24" customWidth="1"/>
    <col min="3" max="3" width="16.140625" style="24" customWidth="1"/>
    <col min="4" max="4" width="28.5703125" style="35" customWidth="1"/>
    <col min="5" max="5" width="29.140625" style="36" customWidth="1"/>
    <col min="6" max="6" width="21.5703125" style="24" customWidth="1"/>
    <col min="7" max="7" width="2.7109375" style="36" customWidth="1"/>
    <col min="8" max="8" width="4.28515625" customWidth="1"/>
    <col min="11" max="11" width="14.28515625" customWidth="1"/>
  </cols>
  <sheetData>
    <row r="1" spans="1:29" ht="22.5" customHeight="1" x14ac:dyDescent="0.25">
      <c r="A1" s="25"/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1"/>
      <c r="AC1" s="11"/>
    </row>
    <row r="2" spans="1:29" ht="19.899999999999999" customHeight="1" x14ac:dyDescent="0.25">
      <c r="A2" s="25"/>
      <c r="B2" s="12"/>
      <c r="C2" s="12"/>
      <c r="D2" s="13"/>
      <c r="E2" s="14"/>
      <c r="F2" s="12"/>
      <c r="G2" s="15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</row>
    <row r="3" spans="1:29" ht="25.15" customHeight="1" x14ac:dyDescent="0.25">
      <c r="A3" s="25"/>
      <c r="B3" s="16"/>
      <c r="C3" s="118" t="s">
        <v>82</v>
      </c>
      <c r="D3" s="110">
        <f>(Invoice!C12)/100</f>
        <v>0</v>
      </c>
      <c r="E3" s="189" t="str">
        <f>IF(AND(D3&lt;=6,D4&gt;8),"NOT IN RANGE",IF(AND(D3&gt;6,D4&lt;=8),"NOT IN RANGE","CORRECT RANGE"))</f>
        <v>CORRECT RANGE</v>
      </c>
      <c r="F3" s="189"/>
      <c r="G3" s="15"/>
      <c r="H3" s="11"/>
      <c r="I3" s="41">
        <f>K3</f>
        <v>1.1216953130392766E-2</v>
      </c>
      <c r="J3" s="25" t="s">
        <v>78</v>
      </c>
      <c r="K3" s="41">
        <f>IF(AND($D$6="ROOF LEVEL"),'D1'!F2,IF(AND($D$6="SAYANEH"),'D1'!F6,IF(AND($D$6="PAVLION"),'D1'!F10,0)))</f>
        <v>1.1216953130392766E-2</v>
      </c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</row>
    <row r="4" spans="1:29" ht="25.15" customHeight="1" x14ac:dyDescent="0.25">
      <c r="A4" s="25"/>
      <c r="B4" s="16"/>
      <c r="C4" s="118" t="s">
        <v>16</v>
      </c>
      <c r="D4" s="110">
        <f>(Invoice!D12)/100</f>
        <v>0</v>
      </c>
      <c r="E4" s="189"/>
      <c r="F4" s="189"/>
      <c r="G4" s="15"/>
      <c r="H4" s="11"/>
      <c r="I4" s="41">
        <f t="shared" ref="I4:I6" si="0">K4</f>
        <v>0.67301718782356601</v>
      </c>
      <c r="J4" s="25" t="s">
        <v>79</v>
      </c>
      <c r="K4" s="41">
        <f>IF(AND($D$6="ROOF LEVEL"),'D1'!F3,IF(AND($D$6="SAYANEH"),'D1'!F7,IF(AND($D$6="PAVLION"),'D1'!F11,0)))</f>
        <v>0.67301718782356601</v>
      </c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</row>
    <row r="5" spans="1:29" ht="25.15" customHeight="1" x14ac:dyDescent="0.25">
      <c r="A5" s="25"/>
      <c r="B5" s="16"/>
      <c r="C5" s="118" t="s">
        <v>24</v>
      </c>
      <c r="D5" s="111">
        <f>Invoice!E12</f>
        <v>0</v>
      </c>
      <c r="E5" s="189"/>
      <c r="F5" s="189"/>
      <c r="G5" s="15"/>
      <c r="H5" s="11"/>
      <c r="I5" s="41">
        <f t="shared" si="0"/>
        <v>3.8090184303168358E-2</v>
      </c>
      <c r="J5" s="25" t="s">
        <v>80</v>
      </c>
      <c r="K5" s="41">
        <f>IF(AND($D$6="ROOF LEVEL"),'D1'!F4,IF(AND($D$6="SAYANEH"),'D1'!F8,IF(AND($D$6="PAVLION"),'D1'!F12,0)))</f>
        <v>3.8090184303168358E-2</v>
      </c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</row>
    <row r="6" spans="1:29" ht="25.15" customHeight="1" x14ac:dyDescent="0.25">
      <c r="A6" s="25"/>
      <c r="B6" s="16"/>
      <c r="C6" s="118" t="s">
        <v>215</v>
      </c>
      <c r="D6" s="112" t="str">
        <f>Invoice!F12</f>
        <v>Roof Level</v>
      </c>
      <c r="E6" s="189"/>
      <c r="F6" s="189"/>
      <c r="G6" s="15"/>
      <c r="H6" s="11"/>
      <c r="I6" s="41">
        <f t="shared" si="0"/>
        <v>0.27767567474287291</v>
      </c>
      <c r="J6" s="25" t="s">
        <v>81</v>
      </c>
      <c r="K6" s="41">
        <f>IF(AND($D$6="ROOF LEVEL"),'D1'!F5,IF(AND($D$6="SAYANEH"),'D1'!F9,IF(AND($D$6="PAVLION"),'D1'!F13,0)))</f>
        <v>0.27767567474287291</v>
      </c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</row>
    <row r="7" spans="1:29" ht="25.15" customHeight="1" x14ac:dyDescent="0.25">
      <c r="A7" s="25"/>
      <c r="B7" s="16"/>
      <c r="C7" s="118" t="s">
        <v>213</v>
      </c>
      <c r="D7" s="160" t="str">
        <f>Invoice!G12</f>
        <v>متحرک</v>
      </c>
      <c r="E7" s="117" t="s">
        <v>83</v>
      </c>
      <c r="F7" s="114">
        <f>D3*D4*D5</f>
        <v>0</v>
      </c>
      <c r="G7" s="15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</row>
    <row r="8" spans="1:29" ht="25.15" customHeight="1" x14ac:dyDescent="0.25">
      <c r="A8" s="25"/>
      <c r="B8" s="16"/>
      <c r="C8" s="118" t="s">
        <v>19</v>
      </c>
      <c r="D8" s="113" t="str">
        <f>Invoice!G18</f>
        <v xml:space="preserve">120Nm بکر آلمان </v>
      </c>
      <c r="E8" s="117" t="s">
        <v>20</v>
      </c>
      <c r="F8" s="115" t="e">
        <f>FLOOR(F9/F7,100000)</f>
        <v>#DIV/0!</v>
      </c>
      <c r="G8" s="15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</row>
    <row r="9" spans="1:29" ht="25.15" customHeight="1" x14ac:dyDescent="0.25">
      <c r="A9" s="25"/>
      <c r="B9" s="12"/>
      <c r="C9" s="118" t="s">
        <v>84</v>
      </c>
      <c r="D9" s="113" t="str">
        <f>Invoice!H12</f>
        <v>روشنایی لبه آبراه(خطی LED)</v>
      </c>
      <c r="E9" s="117" t="s">
        <v>22</v>
      </c>
      <c r="F9" s="115">
        <f>IF(AND(D6="ROOF LEVEL",D7="متحرک"),('D1'!J15),IF(AND(D6="SAYANEH",D7="متحرک"),('D1'!J16),IF(AND(D6="PAVLION",D7="متحرک"),('D1'!J17),IF(AND(D6="ROOF LEVEL",D7="ثابت"),('D1'!J19),IF(AND(D6="SAYANEH",D7="ثابت"),('D1'!J20),IF(AND(D6="PAVLION",D7="ثابت"),('D1'!J21),0))))))</f>
        <v>0</v>
      </c>
      <c r="G9" s="15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</row>
    <row r="10" spans="1:29" ht="16.149999999999999" hidden="1" customHeight="1" x14ac:dyDescent="0.25">
      <c r="A10" s="25"/>
      <c r="B10" s="16"/>
      <c r="C10" s="107" t="s">
        <v>21</v>
      </c>
      <c r="D10" s="108">
        <f>Invoice!C18</f>
        <v>700000</v>
      </c>
      <c r="E10" s="119" t="s">
        <v>33</v>
      </c>
      <c r="F10" s="116" t="str">
        <f>IF(AND(D4&gt;2,D4&lt;=3),0,IF(AND(D4&gt;3,D4&lt;=8),1,"0"))</f>
        <v>0</v>
      </c>
      <c r="G10" s="15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</row>
    <row r="11" spans="1:29" ht="16.149999999999999" hidden="1" customHeight="1" thickBot="1" x14ac:dyDescent="0.3">
      <c r="A11" s="25"/>
      <c r="B11" s="16"/>
      <c r="C11" s="45" t="s">
        <v>34</v>
      </c>
      <c r="D11" s="43">
        <f>Invoice!C17</f>
        <v>2200000</v>
      </c>
      <c r="E11" s="17" t="s">
        <v>15</v>
      </c>
      <c r="F11" s="109">
        <v>35</v>
      </c>
      <c r="G11" s="15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</row>
    <row r="12" spans="1:29" ht="16.149999999999999" hidden="1" customHeight="1" thickBot="1" x14ac:dyDescent="0.3">
      <c r="A12" s="25"/>
      <c r="B12" s="16"/>
      <c r="C12" s="44" t="s">
        <v>37</v>
      </c>
      <c r="D12" s="43">
        <f>Invoice!C19</f>
        <v>450000</v>
      </c>
      <c r="E12" s="19" t="s">
        <v>17</v>
      </c>
      <c r="F12" s="18">
        <v>50</v>
      </c>
      <c r="G12" s="15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</row>
    <row r="13" spans="1:29" ht="19.899999999999999" customHeight="1" x14ac:dyDescent="0.25">
      <c r="A13" s="25"/>
      <c r="B13" s="16"/>
      <c r="C13" s="16"/>
      <c r="D13" s="16"/>
      <c r="E13" s="16"/>
      <c r="F13" s="16"/>
      <c r="G13" s="16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</row>
    <row r="14" spans="1:29" x14ac:dyDescent="0.25">
      <c r="A14" s="25"/>
      <c r="B14" s="25"/>
      <c r="C14" s="26"/>
      <c r="D14" s="27"/>
      <c r="E14" s="28"/>
      <c r="F14" s="11"/>
      <c r="G14" s="29"/>
      <c r="H14" s="190">
        <f>FLOOR((IF(AND($D$6="ROOF LEVEL"),'D1'!D2,IF(AND($D$6="SAYANEH"),'D1'!D6,IF(AND($D$6="PAVLION"),'D1'!D10,0)))),1000000)/10000000</f>
        <v>0.6</v>
      </c>
      <c r="I14" s="190"/>
      <c r="J14" s="190"/>
      <c r="K14" s="190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</row>
    <row r="15" spans="1:29" x14ac:dyDescent="0.25">
      <c r="A15" s="25"/>
      <c r="B15" s="25"/>
      <c r="C15" s="26"/>
      <c r="D15" s="27"/>
      <c r="E15" s="27"/>
      <c r="F15" s="27"/>
      <c r="G15" s="27"/>
      <c r="H15" s="27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</row>
    <row r="16" spans="1:29" x14ac:dyDescent="0.25">
      <c r="A16" s="25"/>
      <c r="B16" s="25"/>
      <c r="C16" s="25"/>
      <c r="D16" s="25"/>
      <c r="E16" s="25"/>
      <c r="F16" s="25"/>
      <c r="G16" s="25"/>
      <c r="H16" s="25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</row>
    <row r="17" spans="1:29" x14ac:dyDescent="0.25">
      <c r="A17" s="25"/>
      <c r="B17" s="25"/>
      <c r="C17" s="25"/>
      <c r="D17" s="25"/>
      <c r="E17" s="25"/>
      <c r="F17" s="25"/>
      <c r="G17" s="25"/>
      <c r="H17" s="25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</row>
    <row r="18" spans="1:29" x14ac:dyDescent="0.25">
      <c r="A18" s="25"/>
      <c r="B18" s="30"/>
      <c r="C18" s="30"/>
      <c r="D18" s="30"/>
      <c r="E18" s="11"/>
      <c r="F18" s="11"/>
      <c r="G18" s="28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</row>
    <row r="19" spans="1:29" x14ac:dyDescent="0.25">
      <c r="A19" s="25"/>
      <c r="B19" s="30"/>
      <c r="C19" s="30"/>
      <c r="D19" s="30"/>
      <c r="E19" s="11"/>
      <c r="F19" s="11"/>
      <c r="G19" s="28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</row>
    <row r="20" spans="1:29" x14ac:dyDescent="0.25">
      <c r="A20" s="25"/>
      <c r="B20" s="11"/>
      <c r="C20" s="11"/>
      <c r="D20" s="31"/>
      <c r="E20" s="11"/>
      <c r="F20" s="32"/>
      <c r="G20" s="32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</row>
    <row r="21" spans="1:29" x14ac:dyDescent="0.25">
      <c r="A21" s="25"/>
      <c r="B21" s="11"/>
      <c r="C21" s="11"/>
      <c r="D21" s="31"/>
      <c r="E21" s="11"/>
      <c r="F21" s="32"/>
      <c r="G21" s="32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</row>
    <row r="22" spans="1:29" x14ac:dyDescent="0.25">
      <c r="A22" s="25"/>
      <c r="B22" s="11"/>
      <c r="C22" s="11"/>
      <c r="D22" s="31"/>
      <c r="E22" s="11"/>
      <c r="F22" s="32"/>
      <c r="G22" s="32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</row>
    <row r="23" spans="1:29" x14ac:dyDescent="0.25">
      <c r="A23" s="25"/>
      <c r="B23" s="11"/>
      <c r="C23" s="11"/>
      <c r="D23" s="31"/>
      <c r="E23" s="11"/>
      <c r="F23" s="32"/>
      <c r="G23" s="33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</row>
    <row r="24" spans="1:29" x14ac:dyDescent="0.25">
      <c r="A24" s="25"/>
      <c r="B24" s="11"/>
      <c r="C24" s="11"/>
      <c r="D24" s="31"/>
      <c r="E24" s="11"/>
      <c r="F24" s="32"/>
      <c r="G24" s="33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</row>
    <row r="25" spans="1:29" x14ac:dyDescent="0.25">
      <c r="A25" s="25"/>
      <c r="B25" s="11"/>
      <c r="C25" s="11"/>
      <c r="D25" s="31"/>
      <c r="E25" s="11"/>
      <c r="F25" s="32"/>
      <c r="G25" s="33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</row>
    <row r="26" spans="1:29" x14ac:dyDescent="0.25">
      <c r="A26" s="25"/>
      <c r="B26" s="11"/>
      <c r="C26" s="11"/>
      <c r="D26" s="31"/>
      <c r="E26" s="11"/>
      <c r="F26" s="32"/>
      <c r="G26" s="33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</row>
    <row r="27" spans="1:29" x14ac:dyDescent="0.25">
      <c r="A27" s="25"/>
      <c r="B27" s="11"/>
      <c r="C27" s="11"/>
      <c r="D27" s="31"/>
      <c r="E27" s="11"/>
      <c r="F27" s="32"/>
      <c r="G27" s="33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</row>
    <row r="28" spans="1:29" x14ac:dyDescent="0.25">
      <c r="A28" s="25"/>
      <c r="B28" s="30"/>
      <c r="C28" s="11"/>
      <c r="D28" s="31"/>
      <c r="E28" s="11"/>
      <c r="F28" s="32"/>
      <c r="G28" s="33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</row>
    <row r="29" spans="1:29" x14ac:dyDescent="0.25">
      <c r="A29" s="25"/>
      <c r="B29" s="11"/>
      <c r="C29" s="11"/>
      <c r="D29" s="31"/>
      <c r="E29" s="11"/>
      <c r="F29" s="32"/>
      <c r="G29" s="33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</row>
    <row r="30" spans="1:29" x14ac:dyDescent="0.25">
      <c r="A30" s="25"/>
      <c r="B30" s="11"/>
      <c r="C30" s="11"/>
      <c r="D30" s="31"/>
      <c r="E30" s="11"/>
      <c r="F30" s="32"/>
      <c r="G30" s="33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</row>
    <row r="31" spans="1:29" x14ac:dyDescent="0.25">
      <c r="A31" s="25"/>
      <c r="B31" s="11"/>
      <c r="C31" s="11"/>
      <c r="D31" s="31"/>
      <c r="E31" s="28"/>
      <c r="F31" s="32"/>
      <c r="G31" s="33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</row>
    <row r="32" spans="1:29" x14ac:dyDescent="0.25">
      <c r="A32" s="25"/>
      <c r="B32" s="11"/>
      <c r="C32" s="11"/>
      <c r="D32" s="31"/>
      <c r="E32" s="28"/>
      <c r="F32" s="32"/>
      <c r="G32" s="33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</row>
    <row r="33" spans="1:29" x14ac:dyDescent="0.25">
      <c r="A33" s="25"/>
      <c r="B33" s="11"/>
      <c r="C33" s="11"/>
      <c r="D33" s="31"/>
      <c r="E33" s="28"/>
      <c r="F33" s="28"/>
      <c r="G33" s="28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</row>
    <row r="34" spans="1:29" x14ac:dyDescent="0.25">
      <c r="A34" s="25"/>
      <c r="B34" s="11"/>
      <c r="C34" s="11"/>
      <c r="D34" s="31"/>
      <c r="E34" s="28"/>
      <c r="F34" s="28"/>
      <c r="G34" s="28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</row>
    <row r="35" spans="1:29" x14ac:dyDescent="0.25">
      <c r="A35" s="25"/>
      <c r="B35" s="11"/>
      <c r="C35" s="11"/>
      <c r="D35" s="31"/>
      <c r="E35" s="28"/>
      <c r="F35" s="28"/>
      <c r="G35" s="28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</row>
    <row r="36" spans="1:29" x14ac:dyDescent="0.25">
      <c r="A36" s="25"/>
      <c r="B36" s="11"/>
      <c r="C36" s="11"/>
      <c r="D36" s="31"/>
      <c r="E36" s="28"/>
      <c r="F36" s="28"/>
      <c r="G36" s="28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</row>
    <row r="37" spans="1:29" x14ac:dyDescent="0.25">
      <c r="A37" s="25"/>
      <c r="B37" s="11"/>
      <c r="C37" s="11"/>
      <c r="D37" s="31"/>
      <c r="E37" s="28"/>
      <c r="F37" s="28"/>
      <c r="G37" s="28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</row>
    <row r="38" spans="1:29" x14ac:dyDescent="0.25">
      <c r="A38" s="25"/>
      <c r="B38" s="11"/>
      <c r="C38" s="11"/>
      <c r="D38" s="31"/>
      <c r="E38" s="28"/>
      <c r="F38" s="28"/>
      <c r="G38" s="28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</row>
    <row r="39" spans="1:29" x14ac:dyDescent="0.25">
      <c r="A39" s="25"/>
      <c r="B39" s="11"/>
      <c r="C39" s="11"/>
      <c r="D39" s="31"/>
      <c r="E39" s="28"/>
      <c r="F39" s="28"/>
      <c r="G39" s="28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</row>
    <row r="40" spans="1:29" x14ac:dyDescent="0.25">
      <c r="A40" s="25"/>
      <c r="B40" s="11"/>
      <c r="C40" s="11"/>
      <c r="D40" s="34"/>
      <c r="E40" s="28"/>
      <c r="F40" s="11"/>
      <c r="G40" s="28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</row>
    <row r="41" spans="1:29" x14ac:dyDescent="0.25">
      <c r="A41" s="25"/>
      <c r="B41" s="11"/>
      <c r="C41" s="11"/>
      <c r="D41" s="34"/>
      <c r="E41" s="28"/>
      <c r="F41" s="11"/>
      <c r="G41" s="28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</row>
    <row r="42" spans="1:29" x14ac:dyDescent="0.25">
      <c r="A42" s="25"/>
      <c r="B42" s="11"/>
      <c r="C42" s="11"/>
      <c r="D42" s="46" t="s">
        <v>88</v>
      </c>
      <c r="E42" s="28"/>
      <c r="F42" s="11"/>
      <c r="G42" s="28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</row>
    <row r="43" spans="1:29" x14ac:dyDescent="0.25">
      <c r="A43" s="25"/>
      <c r="B43" s="11"/>
      <c r="C43" s="42" t="s">
        <v>13</v>
      </c>
      <c r="D43" s="34" t="s">
        <v>85</v>
      </c>
      <c r="E43" s="34" t="s">
        <v>89</v>
      </c>
      <c r="F43" s="11"/>
      <c r="G43" s="28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</row>
    <row r="44" spans="1:29" x14ac:dyDescent="0.25">
      <c r="A44" s="25"/>
      <c r="B44" s="11"/>
      <c r="C44" s="42" t="s">
        <v>14</v>
      </c>
      <c r="D44" s="34" t="s">
        <v>86</v>
      </c>
      <c r="E44" s="34" t="s">
        <v>90</v>
      </c>
      <c r="F44" s="11"/>
      <c r="G44" s="28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</row>
    <row r="45" spans="1:29" x14ac:dyDescent="0.25">
      <c r="A45" s="25"/>
      <c r="B45" s="11"/>
      <c r="C45" s="42" t="s">
        <v>25</v>
      </c>
      <c r="D45" s="34" t="s">
        <v>87</v>
      </c>
      <c r="E45" s="28"/>
      <c r="F45" s="11"/>
      <c r="G45" s="28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</row>
    <row r="46" spans="1:29" x14ac:dyDescent="0.25">
      <c r="A46" s="25"/>
      <c r="B46" s="11"/>
      <c r="C46" s="11"/>
      <c r="D46" s="34"/>
      <c r="E46" s="28"/>
      <c r="F46" s="11"/>
      <c r="G46" s="28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</row>
    <row r="47" spans="1:29" x14ac:dyDescent="0.25">
      <c r="A47" s="25"/>
      <c r="B47" s="11"/>
      <c r="C47" s="11"/>
      <c r="D47" s="34"/>
      <c r="E47" s="28"/>
      <c r="F47" s="11"/>
      <c r="G47" s="28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</row>
    <row r="48" spans="1:29" x14ac:dyDescent="0.25">
      <c r="A48" s="25"/>
      <c r="B48" s="11"/>
      <c r="C48" s="11"/>
      <c r="D48" s="34"/>
      <c r="E48" s="28"/>
      <c r="F48" s="11"/>
      <c r="G48" s="28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</row>
    <row r="49" spans="1:29" x14ac:dyDescent="0.25">
      <c r="A49" s="25"/>
      <c r="B49" s="11"/>
      <c r="C49" s="11"/>
      <c r="D49" s="34"/>
      <c r="E49" s="28"/>
      <c r="F49" s="11"/>
      <c r="G49" s="28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</row>
  </sheetData>
  <mergeCells count="2">
    <mergeCell ref="E3:F6"/>
    <mergeCell ref="H14:K14"/>
  </mergeCells>
  <conditionalFormatting sqref="E3">
    <cfRule type="cellIs" dxfId="12" priority="1" operator="equal">
      <formula>"NOT IN RANGE"</formula>
    </cfRule>
    <cfRule type="cellIs" dxfId="11" priority="2" operator="equal">
      <formula>"CORRECT RANGE"</formula>
    </cfRule>
  </conditionalFormatting>
  <pageMargins left="0.7" right="0.7" top="0.75" bottom="0.75" header="0.3" footer="0.3"/>
  <pageSetup paperSize="8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B9BCBF-40D5-42B7-8BB6-B33E7FC1E1D4}">
  <dimension ref="A2:L109"/>
  <sheetViews>
    <sheetView rightToLeft="1" topLeftCell="A3" workbookViewId="0">
      <selection activeCell="J19" sqref="J19"/>
    </sheetView>
  </sheetViews>
  <sheetFormatPr defaultRowHeight="15" x14ac:dyDescent="0.25"/>
  <cols>
    <col min="2" max="3" width="24.5703125" customWidth="1"/>
    <col min="4" max="4" width="10" customWidth="1"/>
    <col min="5" max="5" width="7.42578125" customWidth="1"/>
    <col min="6" max="7" width="15" customWidth="1"/>
    <col min="8" max="8" width="12.42578125" customWidth="1"/>
    <col min="9" max="9" width="12" style="100" customWidth="1"/>
    <col min="10" max="10" width="16.42578125" customWidth="1"/>
    <col min="11" max="11" width="14.140625" customWidth="1"/>
    <col min="12" max="12" width="11.42578125" customWidth="1"/>
  </cols>
  <sheetData>
    <row r="2" spans="2:11" x14ac:dyDescent="0.25">
      <c r="B2" s="191" t="s">
        <v>89</v>
      </c>
      <c r="C2" s="101" t="s">
        <v>74</v>
      </c>
      <c r="D2" s="195">
        <f>G30+G41+G59+G60+G83+G86+G98+G99+G100</f>
        <v>6500000</v>
      </c>
      <c r="E2" s="195"/>
      <c r="F2" s="102">
        <f>D2/$J$2</f>
        <v>1.1216953130392766E-2</v>
      </c>
      <c r="H2" s="202" t="s">
        <v>89</v>
      </c>
      <c r="I2" s="202"/>
      <c r="J2" s="120">
        <f>D37+D49+D66+D78+D92+D106-D109</f>
        <v>579480000</v>
      </c>
      <c r="K2" s="120"/>
    </row>
    <row r="3" spans="2:11" x14ac:dyDescent="0.25">
      <c r="B3" s="191"/>
      <c r="C3" s="101" t="s">
        <v>75</v>
      </c>
      <c r="D3" s="195">
        <f>G25+G90</f>
        <v>390000000</v>
      </c>
      <c r="E3" s="195"/>
      <c r="F3" s="102">
        <f t="shared" ref="F3:F5" si="0">D3/$J$2</f>
        <v>0.67301718782356601</v>
      </c>
      <c r="H3" s="202" t="s">
        <v>206</v>
      </c>
      <c r="I3" s="202"/>
      <c r="J3" s="120">
        <f>SUM(D6:E9)</f>
        <v>614991250</v>
      </c>
      <c r="K3" s="120"/>
    </row>
    <row r="4" spans="2:11" x14ac:dyDescent="0.25">
      <c r="B4" s="191"/>
      <c r="C4" s="101" t="s">
        <v>76</v>
      </c>
      <c r="D4" s="195">
        <f>G36+G48+G65+G77+G91+(0.6*G105)</f>
        <v>22072500</v>
      </c>
      <c r="E4" s="195"/>
      <c r="F4" s="102">
        <f t="shared" si="0"/>
        <v>3.8090184303168358E-2</v>
      </c>
      <c r="H4" s="202" t="s">
        <v>207</v>
      </c>
      <c r="I4" s="202"/>
      <c r="J4" s="120">
        <f>D37+D49+D66+D78+D92+D106</f>
        <v>650502500</v>
      </c>
      <c r="K4" s="120"/>
    </row>
    <row r="5" spans="2:11" x14ac:dyDescent="0.25">
      <c r="B5" s="191"/>
      <c r="C5" s="101" t="s">
        <v>77</v>
      </c>
      <c r="D5" s="195">
        <f>J2-D2-D3-D4</f>
        <v>160907500</v>
      </c>
      <c r="E5" s="195"/>
      <c r="F5" s="102">
        <f t="shared" si="0"/>
        <v>0.27767567474287291</v>
      </c>
      <c r="H5" s="121"/>
      <c r="I5" s="97" t="s">
        <v>13</v>
      </c>
      <c r="J5" s="121"/>
      <c r="K5" s="22">
        <f>300*'S5'!D10</f>
        <v>210000000</v>
      </c>
    </row>
    <row r="6" spans="2:11" x14ac:dyDescent="0.25">
      <c r="B6" s="192" t="s">
        <v>206</v>
      </c>
      <c r="C6" s="103" t="s">
        <v>74</v>
      </c>
      <c r="D6" s="194">
        <f>D10-F16</f>
        <v>57925000</v>
      </c>
      <c r="E6" s="194"/>
      <c r="F6" s="104">
        <f>D6/$J$3</f>
        <v>9.4188331947812259E-2</v>
      </c>
      <c r="H6" s="121"/>
      <c r="I6" s="97" t="s">
        <v>14</v>
      </c>
      <c r="J6" s="121"/>
      <c r="K6" s="22">
        <f>390*'S5'!D10</f>
        <v>273000000</v>
      </c>
    </row>
    <row r="7" spans="2:11" x14ac:dyDescent="0.25">
      <c r="B7" s="192"/>
      <c r="C7" s="103" t="s">
        <v>75</v>
      </c>
      <c r="D7" s="194">
        <f>D11</f>
        <v>390000000</v>
      </c>
      <c r="E7" s="194"/>
      <c r="F7" s="104">
        <f t="shared" ref="F7:F9" si="1">D7/$J$3</f>
        <v>0.63415536399908123</v>
      </c>
      <c r="H7" s="121"/>
      <c r="I7" s="97" t="s">
        <v>25</v>
      </c>
      <c r="J7" s="121"/>
      <c r="K7" s="22">
        <f>60*'S5'!D10</f>
        <v>42000000</v>
      </c>
    </row>
    <row r="8" spans="2:11" x14ac:dyDescent="0.25">
      <c r="B8" s="192"/>
      <c r="C8" s="103" t="s">
        <v>76</v>
      </c>
      <c r="D8" s="194">
        <f>D12-F17</f>
        <v>26280000</v>
      </c>
      <c r="E8" s="194"/>
      <c r="F8" s="104">
        <f t="shared" si="1"/>
        <v>4.2732315297168859E-2</v>
      </c>
      <c r="H8" s="208" t="s">
        <v>23</v>
      </c>
      <c r="I8" s="208"/>
      <c r="J8" s="208"/>
      <c r="K8" s="20">
        <f>6*'S5'!D10*'S5'!D3*'S5'!D4</f>
        <v>0</v>
      </c>
    </row>
    <row r="9" spans="2:11" ht="15.75" x14ac:dyDescent="0.25">
      <c r="B9" s="192"/>
      <c r="C9" s="103" t="s">
        <v>77</v>
      </c>
      <c r="D9" s="194">
        <f>D13-F18</f>
        <v>140786250</v>
      </c>
      <c r="E9" s="194"/>
      <c r="F9" s="104">
        <f t="shared" si="1"/>
        <v>0.22892398875593759</v>
      </c>
      <c r="H9" s="122"/>
      <c r="I9" s="23"/>
      <c r="J9" s="123" t="s">
        <v>15</v>
      </c>
      <c r="K9" s="124">
        <v>35</v>
      </c>
    </row>
    <row r="10" spans="2:11" ht="15.75" x14ac:dyDescent="0.25">
      <c r="B10" s="193" t="s">
        <v>207</v>
      </c>
      <c r="C10" s="105" t="s">
        <v>74</v>
      </c>
      <c r="D10" s="196">
        <f>G30+G41+G59+G60+G83+G86+G97+G98+G99+G100</f>
        <v>109350000</v>
      </c>
      <c r="E10" s="196"/>
      <c r="F10" s="106">
        <f>D10/$J$4</f>
        <v>0.16810081437042901</v>
      </c>
      <c r="H10" s="125"/>
      <c r="I10" s="21"/>
      <c r="J10" s="123" t="s">
        <v>17</v>
      </c>
      <c r="K10" s="124">
        <v>50</v>
      </c>
    </row>
    <row r="11" spans="2:11" ht="15.75" x14ac:dyDescent="0.25">
      <c r="B11" s="193"/>
      <c r="C11" s="105" t="s">
        <v>75</v>
      </c>
      <c r="D11" s="196">
        <f>G25+G90</f>
        <v>390000000</v>
      </c>
      <c r="E11" s="196"/>
      <c r="F11" s="106">
        <f t="shared" ref="F11:F13" si="2">D11/$J$4</f>
        <v>0.59953651215790871</v>
      </c>
      <c r="H11" s="125"/>
      <c r="I11" s="21"/>
      <c r="J11" s="123" t="s">
        <v>18</v>
      </c>
      <c r="K11" s="124">
        <v>0</v>
      </c>
    </row>
    <row r="12" spans="2:11" x14ac:dyDescent="0.25">
      <c r="B12" s="193"/>
      <c r="C12" s="105" t="s">
        <v>76</v>
      </c>
      <c r="D12" s="196">
        <f>G36+G48+G65+G77+G91+G105</f>
        <v>30487500</v>
      </c>
      <c r="E12" s="196"/>
      <c r="F12" s="106">
        <f t="shared" si="2"/>
        <v>4.6867613883113439E-2</v>
      </c>
      <c r="H12" s="126" t="s">
        <v>89</v>
      </c>
      <c r="I12" s="127"/>
      <c r="J12" s="127">
        <f>FLOOR((J2+K8)*'S5'!D5,100000)</f>
        <v>0</v>
      </c>
      <c r="K12" s="127" t="s">
        <v>208</v>
      </c>
    </row>
    <row r="13" spans="2:11" x14ac:dyDescent="0.25">
      <c r="B13" s="193"/>
      <c r="C13" s="105" t="s">
        <v>77</v>
      </c>
      <c r="D13" s="196">
        <f>J4-D10-D11-D12</f>
        <v>120665000</v>
      </c>
      <c r="E13" s="196"/>
      <c r="F13" s="106">
        <f t="shared" si="2"/>
        <v>0.18549505958854887</v>
      </c>
      <c r="H13" s="126" t="s">
        <v>206</v>
      </c>
      <c r="I13" s="127"/>
      <c r="J13" s="127">
        <f>FLOOR((J3+K8)*'S5'!D5,100000)</f>
        <v>0</v>
      </c>
      <c r="K13" s="127"/>
    </row>
    <row r="14" spans="2:11" x14ac:dyDescent="0.25">
      <c r="H14" s="126" t="s">
        <v>207</v>
      </c>
      <c r="I14" s="127"/>
      <c r="J14" s="127">
        <f>FLOOR((J4+K8)*'S5'!D5,100000)</f>
        <v>0</v>
      </c>
      <c r="K14" s="127"/>
    </row>
    <row r="15" spans="2:11" x14ac:dyDescent="0.25">
      <c r="D15" s="201" t="s">
        <v>210</v>
      </c>
      <c r="E15" s="201"/>
      <c r="F15" s="201"/>
      <c r="H15" s="120" t="s">
        <v>89</v>
      </c>
      <c r="I15" s="8" t="s">
        <v>212</v>
      </c>
      <c r="J15" s="8">
        <f>FLOOR((J12*(1+K9*0.01)*(1+K10*0.01)*(1+K11*0.01)),100000)</f>
        <v>0</v>
      </c>
      <c r="K15" s="204" t="s">
        <v>209</v>
      </c>
    </row>
    <row r="16" spans="2:11" x14ac:dyDescent="0.25">
      <c r="D16" s="103" t="s">
        <v>74</v>
      </c>
      <c r="F16" s="128">
        <f>(D10-D2)/2</f>
        <v>51425000</v>
      </c>
      <c r="H16" s="120" t="s">
        <v>206</v>
      </c>
      <c r="I16" s="8" t="s">
        <v>212</v>
      </c>
      <c r="J16" s="8">
        <f>FLOOR((J13*(1+K9*0.01)*(1+K10*0.01)*(1+K11*0.01)),100000)</f>
        <v>0</v>
      </c>
      <c r="K16" s="204"/>
    </row>
    <row r="17" spans="1:12" x14ac:dyDescent="0.25">
      <c r="D17" s="103" t="s">
        <v>76</v>
      </c>
      <c r="F17" s="129">
        <f>(D12-D4)/2</f>
        <v>4207500</v>
      </c>
      <c r="H17" s="156" t="s">
        <v>207</v>
      </c>
      <c r="I17" s="157" t="s">
        <v>212</v>
      </c>
      <c r="J17" s="157">
        <f>FLOOR((J14*(1+K9*0.01)*(1+K10*0.01)*(1+K11*0.01)),100000)</f>
        <v>0</v>
      </c>
      <c r="K17" s="207"/>
    </row>
    <row r="18" spans="1:12" ht="18.75" x14ac:dyDescent="0.25">
      <c r="D18" s="103" t="s">
        <v>77</v>
      </c>
      <c r="F18" s="129">
        <f>(D13-D5)/2</f>
        <v>-20121250</v>
      </c>
      <c r="H18" s="205" t="s">
        <v>214</v>
      </c>
      <c r="I18" s="206"/>
      <c r="J18" s="161">
        <f>Invoice!C20</f>
        <v>28</v>
      </c>
      <c r="K18" s="121"/>
    </row>
    <row r="19" spans="1:12" x14ac:dyDescent="0.25">
      <c r="H19" s="158" t="s">
        <v>89</v>
      </c>
      <c r="I19" s="159" t="s">
        <v>211</v>
      </c>
      <c r="J19" s="159">
        <f>J15*(100-$J$18)/100</f>
        <v>0</v>
      </c>
      <c r="K19" s="203" t="s">
        <v>209</v>
      </c>
    </row>
    <row r="20" spans="1:12" x14ac:dyDescent="0.25">
      <c r="H20" s="120" t="s">
        <v>206</v>
      </c>
      <c r="I20" s="8" t="s">
        <v>211</v>
      </c>
      <c r="J20" s="159">
        <f t="shared" ref="J20:J21" si="3">J16*(100-$J$18)/100</f>
        <v>0</v>
      </c>
      <c r="K20" s="204"/>
    </row>
    <row r="21" spans="1:12" x14ac:dyDescent="0.25">
      <c r="H21" s="120" t="s">
        <v>207</v>
      </c>
      <c r="I21" s="8" t="s">
        <v>211</v>
      </c>
      <c r="J21" s="159">
        <f t="shared" si="3"/>
        <v>0</v>
      </c>
      <c r="K21" s="204"/>
    </row>
    <row r="22" spans="1:12" x14ac:dyDescent="0.25">
      <c r="A22" s="152"/>
      <c r="B22" s="152"/>
      <c r="C22" s="152"/>
      <c r="D22" s="152"/>
      <c r="E22" s="152"/>
      <c r="F22" s="152"/>
      <c r="G22" s="152"/>
      <c r="H22" s="153"/>
      <c r="I22" s="155"/>
      <c r="J22" s="154"/>
      <c r="K22" s="155"/>
      <c r="L22" s="152"/>
    </row>
    <row r="23" spans="1:12" ht="21" x14ac:dyDescent="0.25">
      <c r="B23" s="1"/>
      <c r="C23" s="1"/>
      <c r="D23" s="200" t="s">
        <v>30</v>
      </c>
      <c r="E23" s="200"/>
      <c r="F23" s="200"/>
      <c r="G23" s="2"/>
    </row>
    <row r="24" spans="1:12" x14ac:dyDescent="0.25">
      <c r="B24" s="3"/>
      <c r="C24" s="3"/>
      <c r="D24" s="4" t="s">
        <v>0</v>
      </c>
      <c r="E24" s="4" t="s">
        <v>1</v>
      </c>
      <c r="F24" s="5" t="s">
        <v>28</v>
      </c>
      <c r="G24" s="2"/>
    </row>
    <row r="25" spans="1:12" ht="40.15" customHeight="1" x14ac:dyDescent="0.25">
      <c r="B25" s="3"/>
      <c r="C25" s="37" t="str">
        <f>'S5'!D8</f>
        <v xml:space="preserve">120Nm بکر آلمان </v>
      </c>
      <c r="D25" s="6">
        <v>1</v>
      </c>
      <c r="E25" s="7" t="s">
        <v>2</v>
      </c>
      <c r="F25" s="47">
        <f>IF(AND(C25="120Nm بکر آلمان "),K5,IF(AND(C25="120Nm  سامفی فرانسه "),K6,IF(AND(C25="120Nm  اختصاصی سایه روشن "),K7,0)))</f>
        <v>210000000</v>
      </c>
      <c r="G25" s="8">
        <f t="shared" ref="G25:G36" si="4">F25*D25</f>
        <v>210000000</v>
      </c>
    </row>
    <row r="26" spans="1:12" ht="40.15" customHeight="1" x14ac:dyDescent="0.25">
      <c r="B26" s="3"/>
      <c r="C26" s="3" t="s">
        <v>26</v>
      </c>
      <c r="D26" s="6">
        <v>2</v>
      </c>
      <c r="E26" s="7" t="s">
        <v>2</v>
      </c>
      <c r="F26" s="47">
        <v>1200000</v>
      </c>
      <c r="G26" s="8">
        <f t="shared" si="4"/>
        <v>2400000</v>
      </c>
    </row>
    <row r="27" spans="1:12" ht="40.15" customHeight="1" x14ac:dyDescent="0.25">
      <c r="B27" s="3"/>
      <c r="C27" s="3" t="s">
        <v>3</v>
      </c>
      <c r="D27" s="6">
        <v>1.5</v>
      </c>
      <c r="E27" s="7" t="s">
        <v>4</v>
      </c>
      <c r="F27" s="47">
        <v>750000</v>
      </c>
      <c r="G27" s="8">
        <f t="shared" si="4"/>
        <v>1125000</v>
      </c>
    </row>
    <row r="28" spans="1:12" ht="40.15" customHeight="1" x14ac:dyDescent="0.25">
      <c r="B28" s="3"/>
      <c r="C28" s="3" t="s">
        <v>27</v>
      </c>
      <c r="D28" s="6">
        <v>2</v>
      </c>
      <c r="E28" s="7" t="s">
        <v>2</v>
      </c>
      <c r="F28" s="47">
        <v>350000</v>
      </c>
      <c r="G28" s="8">
        <f t="shared" si="4"/>
        <v>700000</v>
      </c>
    </row>
    <row r="29" spans="1:12" ht="40.15" customHeight="1" x14ac:dyDescent="0.25">
      <c r="B29" s="3"/>
      <c r="C29" s="3" t="s">
        <v>5</v>
      </c>
      <c r="D29" s="38">
        <f>IF(AND('S5'!D4&lt;=4),('S5'!D4-0.8),IF(AND('S5'!D4&gt;4),(('S5'!D4/2)-0.8),0))</f>
        <v>-0.8</v>
      </c>
      <c r="E29" s="7" t="s">
        <v>2</v>
      </c>
      <c r="F29" s="47">
        <f>H29*'S5'!D11</f>
        <v>4400000</v>
      </c>
      <c r="G29" s="8">
        <f t="shared" si="4"/>
        <v>-3520000</v>
      </c>
      <c r="H29">
        <v>2</v>
      </c>
    </row>
    <row r="30" spans="1:12" ht="40.15" customHeight="1" x14ac:dyDescent="0.25">
      <c r="B30" s="3"/>
      <c r="C30" s="3" t="s">
        <v>29</v>
      </c>
      <c r="D30" s="6">
        <v>2</v>
      </c>
      <c r="E30" s="7" t="s">
        <v>2</v>
      </c>
      <c r="F30" s="47">
        <v>750000</v>
      </c>
      <c r="G30" s="8">
        <f t="shared" si="4"/>
        <v>1500000</v>
      </c>
    </row>
    <row r="31" spans="1:12" ht="40.15" customHeight="1" x14ac:dyDescent="0.25">
      <c r="B31" s="3"/>
      <c r="C31" s="3" t="s">
        <v>6</v>
      </c>
      <c r="D31" s="6">
        <v>2</v>
      </c>
      <c r="E31" s="7" t="s">
        <v>2</v>
      </c>
      <c r="F31" s="47">
        <v>850000</v>
      </c>
      <c r="G31" s="8">
        <f t="shared" si="4"/>
        <v>1700000</v>
      </c>
    </row>
    <row r="32" spans="1:12" ht="40.15" customHeight="1" x14ac:dyDescent="0.25">
      <c r="B32" s="3"/>
      <c r="C32" s="3" t="s">
        <v>7</v>
      </c>
      <c r="D32" s="6">
        <v>1</v>
      </c>
      <c r="E32" s="7" t="s">
        <v>2</v>
      </c>
      <c r="F32" s="47">
        <v>2500000</v>
      </c>
      <c r="G32" s="8">
        <f t="shared" si="4"/>
        <v>2500000</v>
      </c>
    </row>
    <row r="33" spans="2:8" ht="40.15" customHeight="1" x14ac:dyDescent="0.25">
      <c r="B33" s="3"/>
      <c r="C33" s="3" t="s">
        <v>8</v>
      </c>
      <c r="D33" s="6">
        <v>1</v>
      </c>
      <c r="E33" s="7" t="s">
        <v>2</v>
      </c>
      <c r="F33" s="47">
        <v>1400000</v>
      </c>
      <c r="G33" s="8">
        <f t="shared" si="4"/>
        <v>1400000</v>
      </c>
    </row>
    <row r="34" spans="2:8" ht="40.15" customHeight="1" x14ac:dyDescent="0.25">
      <c r="B34" s="3"/>
      <c r="C34" s="3" t="s">
        <v>9</v>
      </c>
      <c r="D34" s="6">
        <v>6</v>
      </c>
      <c r="E34" s="7" t="s">
        <v>2</v>
      </c>
      <c r="F34" s="48">
        <v>40000</v>
      </c>
      <c r="G34" s="8">
        <f t="shared" si="4"/>
        <v>240000</v>
      </c>
    </row>
    <row r="35" spans="2:8" ht="40.15" customHeight="1" x14ac:dyDescent="0.25">
      <c r="B35" s="3"/>
      <c r="C35" s="3" t="s">
        <v>10</v>
      </c>
      <c r="D35" s="6">
        <v>1</v>
      </c>
      <c r="E35" s="7" t="s">
        <v>2</v>
      </c>
      <c r="F35" s="48">
        <v>60000</v>
      </c>
      <c r="G35" s="8">
        <f t="shared" si="4"/>
        <v>60000</v>
      </c>
    </row>
    <row r="36" spans="2:8" ht="40.15" customHeight="1" x14ac:dyDescent="0.25">
      <c r="B36" s="3"/>
      <c r="C36" s="3" t="s">
        <v>11</v>
      </c>
      <c r="D36" s="6">
        <v>5</v>
      </c>
      <c r="E36" s="9" t="s">
        <v>12</v>
      </c>
      <c r="F36" s="47">
        <f>'S5'!D12</f>
        <v>450000</v>
      </c>
      <c r="G36" s="8">
        <f t="shared" si="4"/>
        <v>2250000</v>
      </c>
    </row>
    <row r="37" spans="2:8" ht="40.15" customHeight="1" x14ac:dyDescent="0.25">
      <c r="B37" s="10"/>
      <c r="C37" s="10"/>
      <c r="D37" s="197">
        <f>SUM(G25:G36)</f>
        <v>220355000</v>
      </c>
      <c r="E37" s="198"/>
      <c r="F37" s="198"/>
      <c r="G37" s="199"/>
    </row>
    <row r="39" spans="2:8" ht="21" x14ac:dyDescent="0.25">
      <c r="B39" s="1"/>
      <c r="C39" s="1"/>
      <c r="D39" s="200" t="s">
        <v>31</v>
      </c>
      <c r="E39" s="200"/>
      <c r="F39" s="200"/>
      <c r="G39" s="2"/>
    </row>
    <row r="40" spans="2:8" x14ac:dyDescent="0.25">
      <c r="B40" s="3" t="s">
        <v>42</v>
      </c>
      <c r="C40" s="40">
        <f>2+'S5'!F10</f>
        <v>2</v>
      </c>
      <c r="D40" s="4" t="s">
        <v>0</v>
      </c>
      <c r="E40" s="4" t="s">
        <v>1</v>
      </c>
      <c r="F40" s="5" t="s">
        <v>28</v>
      </c>
      <c r="G40" s="2"/>
    </row>
    <row r="41" spans="2:8" ht="40.15" customHeight="1" x14ac:dyDescent="0.25">
      <c r="B41" s="3"/>
      <c r="C41" s="37" t="s">
        <v>32</v>
      </c>
      <c r="D41" s="39">
        <f>C40*'S5'!D3</f>
        <v>0</v>
      </c>
      <c r="E41" s="7" t="s">
        <v>4</v>
      </c>
      <c r="F41" s="47">
        <f>H41*'S5'!D11</f>
        <v>13420000</v>
      </c>
      <c r="G41" s="8">
        <f t="shared" ref="G41:G48" si="5">F41*D41</f>
        <v>0</v>
      </c>
      <c r="H41">
        <v>6.1</v>
      </c>
    </row>
    <row r="42" spans="2:8" ht="40.15" customHeight="1" x14ac:dyDescent="0.25">
      <c r="B42" s="3"/>
      <c r="C42" s="3" t="s">
        <v>35</v>
      </c>
      <c r="D42" s="6">
        <f>(D41*2)+(C40*0.6)</f>
        <v>1.2</v>
      </c>
      <c r="E42" s="7" t="s">
        <v>2</v>
      </c>
      <c r="F42" s="47">
        <v>1800000</v>
      </c>
      <c r="G42" s="8">
        <f t="shared" si="5"/>
        <v>2160000</v>
      </c>
    </row>
    <row r="43" spans="2:8" ht="40.15" customHeight="1" x14ac:dyDescent="0.25">
      <c r="B43" s="3"/>
      <c r="C43" s="3" t="s">
        <v>36</v>
      </c>
      <c r="D43" s="6">
        <f>D41/0.25</f>
        <v>0</v>
      </c>
      <c r="E43" s="7" t="s">
        <v>4</v>
      </c>
      <c r="F43" s="47">
        <v>1200000</v>
      </c>
      <c r="G43" s="8">
        <f t="shared" si="5"/>
        <v>0</v>
      </c>
    </row>
    <row r="44" spans="2:8" ht="40.15" customHeight="1" x14ac:dyDescent="0.25">
      <c r="B44" s="3"/>
      <c r="C44" s="3" t="s">
        <v>38</v>
      </c>
      <c r="D44" s="6">
        <f>'S5'!D4*2</f>
        <v>0</v>
      </c>
      <c r="E44" s="7" t="s">
        <v>4</v>
      </c>
      <c r="F44" s="47">
        <v>2500000</v>
      </c>
      <c r="G44" s="8">
        <f t="shared" si="5"/>
        <v>0</v>
      </c>
    </row>
    <row r="45" spans="2:8" ht="40.15" customHeight="1" x14ac:dyDescent="0.25">
      <c r="B45" s="3"/>
      <c r="C45" s="3" t="s">
        <v>39</v>
      </c>
      <c r="D45" s="39">
        <f>C40</f>
        <v>2</v>
      </c>
      <c r="E45" s="7" t="s">
        <v>2</v>
      </c>
      <c r="F45" s="48">
        <v>200000</v>
      </c>
      <c r="G45" s="8">
        <f t="shared" si="5"/>
        <v>400000</v>
      </c>
    </row>
    <row r="46" spans="2:8" ht="40.15" customHeight="1" x14ac:dyDescent="0.25">
      <c r="B46" s="3"/>
      <c r="C46" s="3" t="s">
        <v>40</v>
      </c>
      <c r="D46" s="6">
        <f>12*C40</f>
        <v>24</v>
      </c>
      <c r="E46" s="7" t="s">
        <v>2</v>
      </c>
      <c r="F46" s="48">
        <v>40000</v>
      </c>
      <c r="G46" s="8">
        <f t="shared" si="5"/>
        <v>960000</v>
      </c>
    </row>
    <row r="47" spans="2:8" ht="40.15" customHeight="1" x14ac:dyDescent="0.25">
      <c r="B47" s="3"/>
      <c r="C47" s="3" t="s">
        <v>41</v>
      </c>
      <c r="D47" s="6">
        <f>D46</f>
        <v>24</v>
      </c>
      <c r="E47" s="7" t="s">
        <v>2</v>
      </c>
      <c r="F47" s="2">
        <v>60000</v>
      </c>
      <c r="G47" s="8">
        <f t="shared" si="5"/>
        <v>1440000</v>
      </c>
    </row>
    <row r="48" spans="2:8" ht="40.15" customHeight="1" x14ac:dyDescent="0.25">
      <c r="B48" s="3"/>
      <c r="C48" s="3" t="s">
        <v>11</v>
      </c>
      <c r="D48" s="6">
        <f>H41*D41</f>
        <v>0</v>
      </c>
      <c r="E48" s="9" t="s">
        <v>12</v>
      </c>
      <c r="F48" s="47">
        <f>'S5'!D12</f>
        <v>450000</v>
      </c>
      <c r="G48" s="8">
        <f t="shared" si="5"/>
        <v>0</v>
      </c>
    </row>
    <row r="49" spans="2:7" ht="40.15" customHeight="1" x14ac:dyDescent="0.25">
      <c r="B49" s="10"/>
      <c r="C49" s="10"/>
      <c r="D49" s="197">
        <f>SUM(G41:G48)</f>
        <v>4960000</v>
      </c>
      <c r="E49" s="198"/>
      <c r="F49" s="198"/>
      <c r="G49" s="199"/>
    </row>
    <row r="52" spans="2:7" ht="21" x14ac:dyDescent="0.25">
      <c r="B52" s="1"/>
      <c r="C52" s="1"/>
      <c r="D52" s="200" t="s">
        <v>43</v>
      </c>
      <c r="E52" s="200"/>
      <c r="F52" s="200"/>
      <c r="G52" s="2"/>
    </row>
    <row r="53" spans="2:7" x14ac:dyDescent="0.25">
      <c r="B53" s="3" t="s">
        <v>42</v>
      </c>
      <c r="C53" s="40">
        <f>2+'S5'!F10</f>
        <v>2</v>
      </c>
      <c r="D53" s="4" t="s">
        <v>0</v>
      </c>
      <c r="E53" s="4" t="s">
        <v>1</v>
      </c>
      <c r="F53" s="5" t="s">
        <v>28</v>
      </c>
      <c r="G53" s="2"/>
    </row>
    <row r="54" spans="2:7" ht="40.15" customHeight="1" x14ac:dyDescent="0.25">
      <c r="B54" s="3"/>
      <c r="C54" s="3" t="s">
        <v>44</v>
      </c>
      <c r="D54" s="39">
        <f>C53</f>
        <v>2</v>
      </c>
      <c r="E54" s="7" t="s">
        <v>2</v>
      </c>
      <c r="F54" s="47">
        <v>2100000</v>
      </c>
      <c r="G54" s="8">
        <f t="shared" ref="G54:G65" si="6">F54*D54</f>
        <v>4200000</v>
      </c>
    </row>
    <row r="55" spans="2:7" ht="40.15" customHeight="1" x14ac:dyDescent="0.25">
      <c r="B55" s="3"/>
      <c r="C55" s="3" t="s">
        <v>45</v>
      </c>
      <c r="D55" s="39">
        <f>C53</f>
        <v>2</v>
      </c>
      <c r="E55" s="7" t="s">
        <v>2</v>
      </c>
      <c r="F55" s="47">
        <v>1500000</v>
      </c>
      <c r="G55" s="8">
        <f t="shared" si="6"/>
        <v>3000000</v>
      </c>
    </row>
    <row r="56" spans="2:7" ht="40.15" customHeight="1" x14ac:dyDescent="0.25">
      <c r="B56" s="3"/>
      <c r="C56" s="3" t="s">
        <v>46</v>
      </c>
      <c r="D56" s="6">
        <f>2*C53</f>
        <v>4</v>
      </c>
      <c r="E56" s="7" t="s">
        <v>2</v>
      </c>
      <c r="F56" s="47">
        <v>250000</v>
      </c>
      <c r="G56" s="8">
        <f t="shared" si="6"/>
        <v>1000000</v>
      </c>
    </row>
    <row r="57" spans="2:7" ht="40.15" customHeight="1" x14ac:dyDescent="0.25">
      <c r="B57" s="3"/>
      <c r="C57" s="3" t="s">
        <v>50</v>
      </c>
      <c r="D57" s="6">
        <f>2*C53</f>
        <v>4</v>
      </c>
      <c r="E57" s="7" t="s">
        <v>2</v>
      </c>
      <c r="F57" s="2">
        <v>50000</v>
      </c>
      <c r="G57" s="8">
        <f t="shared" si="6"/>
        <v>200000</v>
      </c>
    </row>
    <row r="58" spans="2:7" ht="40.15" customHeight="1" x14ac:dyDescent="0.25">
      <c r="B58" s="3"/>
      <c r="C58" s="3" t="s">
        <v>27</v>
      </c>
      <c r="D58" s="39">
        <f>D54</f>
        <v>2</v>
      </c>
      <c r="E58" s="7" t="s">
        <v>4</v>
      </c>
      <c r="F58" s="47">
        <v>350000</v>
      </c>
      <c r="G58" s="8">
        <f t="shared" si="6"/>
        <v>700000</v>
      </c>
    </row>
    <row r="59" spans="2:7" ht="40.15" customHeight="1" x14ac:dyDescent="0.25">
      <c r="B59" s="3"/>
      <c r="C59" s="3" t="s">
        <v>29</v>
      </c>
      <c r="D59" s="6">
        <v>2</v>
      </c>
      <c r="E59" s="7" t="s">
        <v>2</v>
      </c>
      <c r="F59" s="47">
        <v>750000</v>
      </c>
      <c r="G59" s="8">
        <f t="shared" si="6"/>
        <v>1500000</v>
      </c>
    </row>
    <row r="60" spans="2:7" ht="40.15" customHeight="1" x14ac:dyDescent="0.25">
      <c r="B60" s="3"/>
      <c r="C60" s="3" t="s">
        <v>5</v>
      </c>
      <c r="D60" s="38">
        <f>0.25*C53</f>
        <v>0.5</v>
      </c>
      <c r="E60" s="7" t="s">
        <v>2</v>
      </c>
      <c r="F60" s="47">
        <v>7000000</v>
      </c>
      <c r="G60" s="8">
        <f t="shared" si="6"/>
        <v>3500000</v>
      </c>
    </row>
    <row r="61" spans="2:7" ht="40.15" customHeight="1" x14ac:dyDescent="0.25">
      <c r="B61" s="3"/>
      <c r="C61" s="3" t="s">
        <v>6</v>
      </c>
      <c r="D61" s="6">
        <v>2</v>
      </c>
      <c r="E61" s="7" t="s">
        <v>2</v>
      </c>
      <c r="F61" s="47">
        <v>850000</v>
      </c>
      <c r="G61" s="8">
        <f t="shared" si="6"/>
        <v>1700000</v>
      </c>
    </row>
    <row r="62" spans="2:7" ht="40.15" customHeight="1" x14ac:dyDescent="0.25">
      <c r="B62" s="3"/>
      <c r="C62" s="3" t="s">
        <v>48</v>
      </c>
      <c r="D62" s="6">
        <f>D58*2</f>
        <v>4</v>
      </c>
      <c r="E62" s="7" t="s">
        <v>2</v>
      </c>
      <c r="F62" s="2">
        <v>60000</v>
      </c>
      <c r="G62" s="8">
        <f t="shared" si="6"/>
        <v>240000</v>
      </c>
    </row>
    <row r="63" spans="2:7" ht="40.15" customHeight="1" x14ac:dyDescent="0.25">
      <c r="B63" s="3"/>
      <c r="C63" s="3" t="s">
        <v>49</v>
      </c>
      <c r="D63" s="6">
        <f>4*C53</f>
        <v>8</v>
      </c>
      <c r="E63" s="7" t="s">
        <v>2</v>
      </c>
      <c r="F63" s="2">
        <v>60000</v>
      </c>
      <c r="G63" s="8">
        <f t="shared" si="6"/>
        <v>480000</v>
      </c>
    </row>
    <row r="64" spans="2:7" ht="40.15" customHeight="1" x14ac:dyDescent="0.25">
      <c r="B64" s="3"/>
      <c r="C64" s="3" t="s">
        <v>47</v>
      </c>
      <c r="D64" s="39">
        <f>C53</f>
        <v>2</v>
      </c>
      <c r="E64" s="7" t="s">
        <v>2</v>
      </c>
      <c r="F64" s="2">
        <v>350000</v>
      </c>
      <c r="G64" s="8">
        <f t="shared" si="6"/>
        <v>700000</v>
      </c>
    </row>
    <row r="65" spans="2:7" ht="40.15" customHeight="1" x14ac:dyDescent="0.25">
      <c r="B65" s="3"/>
      <c r="C65" s="3" t="s">
        <v>11</v>
      </c>
      <c r="D65" s="6">
        <f>4*C53</f>
        <v>8</v>
      </c>
      <c r="E65" s="9" t="s">
        <v>12</v>
      </c>
      <c r="F65" s="47">
        <f>'S5'!D12</f>
        <v>450000</v>
      </c>
      <c r="G65" s="8">
        <f t="shared" si="6"/>
        <v>3600000</v>
      </c>
    </row>
    <row r="66" spans="2:7" ht="40.15" customHeight="1" x14ac:dyDescent="0.25">
      <c r="B66" s="10"/>
      <c r="C66" s="10"/>
      <c r="D66" s="197">
        <f>SUM(G54:G65)</f>
        <v>20820000</v>
      </c>
      <c r="E66" s="198"/>
      <c r="F66" s="198"/>
      <c r="G66" s="199"/>
    </row>
    <row r="69" spans="2:7" ht="21" x14ac:dyDescent="0.25">
      <c r="B69" s="1"/>
      <c r="C69" s="1"/>
      <c r="D69" s="200" t="s">
        <v>51</v>
      </c>
      <c r="E69" s="200"/>
      <c r="F69" s="200"/>
      <c r="G69" s="2"/>
    </row>
    <row r="70" spans="2:7" x14ac:dyDescent="0.25">
      <c r="B70" s="3" t="s">
        <v>42</v>
      </c>
      <c r="C70" s="40">
        <f>2+'S5'!F10</f>
        <v>2</v>
      </c>
      <c r="D70" s="4" t="s">
        <v>0</v>
      </c>
      <c r="E70" s="4" t="s">
        <v>1</v>
      </c>
      <c r="F70" s="5" t="s">
        <v>28</v>
      </c>
      <c r="G70" s="2"/>
    </row>
    <row r="71" spans="2:7" ht="40.15" customHeight="1" x14ac:dyDescent="0.25">
      <c r="B71" s="3"/>
      <c r="C71" s="3" t="s">
        <v>44</v>
      </c>
      <c r="D71" s="39">
        <f>C70</f>
        <v>2</v>
      </c>
      <c r="E71" s="7" t="s">
        <v>2</v>
      </c>
      <c r="F71" s="47">
        <v>3500000</v>
      </c>
      <c r="G71" s="8">
        <f t="shared" ref="G71:G77" si="7">F71*D71</f>
        <v>7000000</v>
      </c>
    </row>
    <row r="72" spans="2:7" ht="40.15" customHeight="1" x14ac:dyDescent="0.25">
      <c r="B72" s="3"/>
      <c r="C72" s="3" t="s">
        <v>52</v>
      </c>
      <c r="D72" s="39">
        <f>C70</f>
        <v>2</v>
      </c>
      <c r="E72" s="7" t="s">
        <v>2</v>
      </c>
      <c r="F72" s="47">
        <v>1300000</v>
      </c>
      <c r="G72" s="8">
        <f t="shared" si="7"/>
        <v>2600000</v>
      </c>
    </row>
    <row r="73" spans="2:7" ht="40.15" customHeight="1" x14ac:dyDescent="0.25">
      <c r="B73" s="3"/>
      <c r="C73" s="3" t="s">
        <v>53</v>
      </c>
      <c r="D73" s="39">
        <f>C70</f>
        <v>2</v>
      </c>
      <c r="E73" s="7" t="s">
        <v>2</v>
      </c>
      <c r="F73" s="47">
        <v>470000</v>
      </c>
      <c r="G73" s="8">
        <f t="shared" si="7"/>
        <v>940000</v>
      </c>
    </row>
    <row r="74" spans="2:7" ht="40.15" customHeight="1" x14ac:dyDescent="0.25">
      <c r="B74" s="3"/>
      <c r="C74" s="3" t="s">
        <v>54</v>
      </c>
      <c r="D74" s="6">
        <f>2*C70</f>
        <v>4</v>
      </c>
      <c r="E74" s="7" t="s">
        <v>2</v>
      </c>
      <c r="F74" s="2">
        <v>50000</v>
      </c>
      <c r="G74" s="8">
        <f t="shared" si="7"/>
        <v>200000</v>
      </c>
    </row>
    <row r="75" spans="2:7" ht="40.15" customHeight="1" x14ac:dyDescent="0.25">
      <c r="B75" s="3"/>
      <c r="C75" s="3" t="s">
        <v>55</v>
      </c>
      <c r="D75" s="39">
        <f>D72</f>
        <v>2</v>
      </c>
      <c r="E75" s="7" t="s">
        <v>2</v>
      </c>
      <c r="F75" s="2">
        <v>60000</v>
      </c>
      <c r="G75" s="8">
        <f t="shared" si="7"/>
        <v>120000</v>
      </c>
    </row>
    <row r="76" spans="2:7" ht="40.15" customHeight="1" x14ac:dyDescent="0.25">
      <c r="B76" s="3"/>
      <c r="C76" s="3" t="s">
        <v>47</v>
      </c>
      <c r="D76" s="39">
        <f>C70</f>
        <v>2</v>
      </c>
      <c r="E76" s="7" t="s">
        <v>2</v>
      </c>
      <c r="F76" s="2">
        <v>350000</v>
      </c>
      <c r="G76" s="8">
        <f t="shared" si="7"/>
        <v>700000</v>
      </c>
    </row>
    <row r="77" spans="2:7" ht="40.15" customHeight="1" x14ac:dyDescent="0.25">
      <c r="B77" s="3"/>
      <c r="C77" s="3" t="s">
        <v>11</v>
      </c>
      <c r="D77" s="6">
        <f>4*C70</f>
        <v>8</v>
      </c>
      <c r="E77" s="9" t="s">
        <v>12</v>
      </c>
      <c r="F77" s="47">
        <f>'S5'!D12</f>
        <v>450000</v>
      </c>
      <c r="G77" s="8">
        <f t="shared" si="7"/>
        <v>3600000</v>
      </c>
    </row>
    <row r="78" spans="2:7" ht="40.15" customHeight="1" x14ac:dyDescent="0.25">
      <c r="B78" s="10"/>
      <c r="C78" s="10"/>
      <c r="D78" s="197">
        <f>SUM(G71:G77)</f>
        <v>15160000</v>
      </c>
      <c r="E78" s="198"/>
      <c r="F78" s="198"/>
      <c r="G78" s="199"/>
    </row>
    <row r="81" spans="2:8" ht="21" x14ac:dyDescent="0.25">
      <c r="B81" s="1"/>
      <c r="C81" s="1"/>
      <c r="D81" s="200" t="s">
        <v>56</v>
      </c>
      <c r="E81" s="200"/>
      <c r="F81" s="200"/>
      <c r="G81" s="2"/>
    </row>
    <row r="82" spans="2:8" x14ac:dyDescent="0.25">
      <c r="B82" s="3" t="s">
        <v>59</v>
      </c>
      <c r="C82" s="40">
        <f>'S5'!D3/0.25</f>
        <v>0</v>
      </c>
      <c r="D82" s="4" t="s">
        <v>0</v>
      </c>
      <c r="E82" s="4" t="s">
        <v>1</v>
      </c>
      <c r="F82" s="5" t="s">
        <v>28</v>
      </c>
      <c r="G82" s="2"/>
    </row>
    <row r="83" spans="2:8" ht="40.15" customHeight="1" x14ac:dyDescent="0.25">
      <c r="B83" s="3"/>
      <c r="C83" s="3" t="s">
        <v>57</v>
      </c>
      <c r="D83" s="39">
        <f>(C82*'S5'!D4)</f>
        <v>0</v>
      </c>
      <c r="E83" s="7" t="s">
        <v>2</v>
      </c>
      <c r="F83" s="47">
        <f>H83*'S5'!$D$11</f>
        <v>7194000</v>
      </c>
      <c r="G83" s="8">
        <f t="shared" ref="G83:G91" si="8">F83*D83</f>
        <v>0</v>
      </c>
      <c r="H83">
        <v>3.27</v>
      </c>
    </row>
    <row r="84" spans="2:8" ht="40.15" customHeight="1" x14ac:dyDescent="0.25">
      <c r="B84" s="3"/>
      <c r="C84" s="3" t="s">
        <v>58</v>
      </c>
      <c r="D84" s="39">
        <f>C82*2</f>
        <v>0</v>
      </c>
      <c r="E84" s="7" t="s">
        <v>2</v>
      </c>
      <c r="F84" s="47">
        <v>450000</v>
      </c>
      <c r="G84" s="8">
        <f t="shared" si="8"/>
        <v>0</v>
      </c>
    </row>
    <row r="85" spans="2:8" ht="40.15" customHeight="1" x14ac:dyDescent="0.25">
      <c r="B85" s="3"/>
      <c r="C85" s="3" t="s">
        <v>60</v>
      </c>
      <c r="D85" s="39">
        <f>D43</f>
        <v>0</v>
      </c>
      <c r="E85" s="7" t="s">
        <v>2</v>
      </c>
      <c r="F85" s="47">
        <v>550000</v>
      </c>
      <c r="G85" s="8">
        <f t="shared" si="8"/>
        <v>0</v>
      </c>
    </row>
    <row r="86" spans="2:8" ht="40.15" customHeight="1" x14ac:dyDescent="0.25">
      <c r="B86" s="3"/>
      <c r="C86" s="3" t="s">
        <v>61</v>
      </c>
      <c r="D86" s="6">
        <f>'S5'!D3*2</f>
        <v>0</v>
      </c>
      <c r="E86" s="7" t="s">
        <v>4</v>
      </c>
      <c r="F86" s="47">
        <f>H86*'S5'!D11</f>
        <v>2860000</v>
      </c>
      <c r="G86" s="8">
        <f t="shared" si="8"/>
        <v>0</v>
      </c>
      <c r="H86">
        <v>1.3</v>
      </c>
    </row>
    <row r="87" spans="2:8" ht="40.15" customHeight="1" x14ac:dyDescent="0.25">
      <c r="B87" s="3"/>
      <c r="C87" s="3" t="s">
        <v>62</v>
      </c>
      <c r="D87" s="39">
        <v>6</v>
      </c>
      <c r="E87" s="7" t="s">
        <v>2</v>
      </c>
      <c r="F87" s="47">
        <v>1200000</v>
      </c>
      <c r="G87" s="8">
        <f t="shared" si="8"/>
        <v>7200000</v>
      </c>
    </row>
    <row r="88" spans="2:8" ht="40.15" customHeight="1" x14ac:dyDescent="0.25">
      <c r="B88" s="3"/>
      <c r="C88" s="3" t="s">
        <v>63</v>
      </c>
      <c r="D88" s="39">
        <f>D87</f>
        <v>6</v>
      </c>
      <c r="E88" s="7" t="s">
        <v>2</v>
      </c>
      <c r="F88" s="47">
        <v>350000</v>
      </c>
      <c r="G88" s="8">
        <f t="shared" si="8"/>
        <v>2100000</v>
      </c>
    </row>
    <row r="89" spans="2:8" ht="40.15" customHeight="1" x14ac:dyDescent="0.25">
      <c r="B89" s="3"/>
      <c r="C89" s="3" t="s">
        <v>53</v>
      </c>
      <c r="D89" s="39">
        <f>D87</f>
        <v>6</v>
      </c>
      <c r="E89" s="7" t="s">
        <v>2</v>
      </c>
      <c r="F89" s="47">
        <v>470000</v>
      </c>
      <c r="G89" s="8">
        <f t="shared" si="8"/>
        <v>2820000</v>
      </c>
    </row>
    <row r="90" spans="2:8" ht="40.15" customHeight="1" x14ac:dyDescent="0.25">
      <c r="B90" s="3"/>
      <c r="C90" s="3" t="s">
        <v>64</v>
      </c>
      <c r="D90" s="39">
        <v>2</v>
      </c>
      <c r="E90" s="7" t="s">
        <v>2</v>
      </c>
      <c r="F90" s="47">
        <v>90000000</v>
      </c>
      <c r="G90" s="8">
        <f t="shared" si="8"/>
        <v>180000000</v>
      </c>
    </row>
    <row r="91" spans="2:8" ht="40.15" customHeight="1" x14ac:dyDescent="0.25">
      <c r="B91" s="3"/>
      <c r="C91" s="3" t="s">
        <v>11</v>
      </c>
      <c r="D91" s="6">
        <f>((H83*D83)+(H86*D86))</f>
        <v>0</v>
      </c>
      <c r="E91" s="9" t="s">
        <v>12</v>
      </c>
      <c r="F91" s="47">
        <f>'S5'!D12</f>
        <v>450000</v>
      </c>
      <c r="G91" s="8">
        <f t="shared" si="8"/>
        <v>0</v>
      </c>
    </row>
    <row r="92" spans="2:8" ht="40.15" customHeight="1" x14ac:dyDescent="0.25">
      <c r="B92" s="10"/>
      <c r="C92" s="10"/>
      <c r="D92" s="197">
        <f>SUM(G83:G91)</f>
        <v>192120000</v>
      </c>
      <c r="E92" s="198"/>
      <c r="F92" s="198"/>
      <c r="G92" s="199"/>
    </row>
    <row r="95" spans="2:8" ht="21" x14ac:dyDescent="0.25">
      <c r="B95" s="1"/>
      <c r="C95" s="1"/>
      <c r="D95" s="200" t="s">
        <v>65</v>
      </c>
      <c r="E95" s="200"/>
      <c r="F95" s="200"/>
      <c r="G95" s="2"/>
    </row>
    <row r="96" spans="2:8" x14ac:dyDescent="0.25">
      <c r="B96" s="3" t="s">
        <v>42</v>
      </c>
      <c r="C96" s="40">
        <f>C40</f>
        <v>2</v>
      </c>
      <c r="D96" s="4" t="s">
        <v>0</v>
      </c>
      <c r="E96" s="4" t="s">
        <v>1</v>
      </c>
      <c r="F96" s="5" t="s">
        <v>28</v>
      </c>
      <c r="G96" s="2"/>
    </row>
    <row r="97" spans="2:9" ht="40.15" customHeight="1" x14ac:dyDescent="0.25">
      <c r="B97" s="3"/>
      <c r="C97" s="3" t="s">
        <v>66</v>
      </c>
      <c r="D97" s="39">
        <f>C96*2*2.75</f>
        <v>11</v>
      </c>
      <c r="E97" s="7" t="s">
        <v>4</v>
      </c>
      <c r="F97" s="47">
        <f>H97*'S5'!$D$11</f>
        <v>9350000</v>
      </c>
      <c r="G97" s="8">
        <f t="shared" ref="G97:G105" si="9">F97*D97</f>
        <v>102850000</v>
      </c>
      <c r="H97">
        <v>4.25</v>
      </c>
      <c r="I97" s="100">
        <f>H97*D97</f>
        <v>46.75</v>
      </c>
    </row>
    <row r="98" spans="2:9" ht="40.15" customHeight="1" x14ac:dyDescent="0.25">
      <c r="B98" s="3"/>
      <c r="C98" s="3" t="s">
        <v>67</v>
      </c>
      <c r="D98" s="39">
        <f>('S5'!D3+'S5'!D4)*2</f>
        <v>0</v>
      </c>
      <c r="E98" s="7" t="s">
        <v>4</v>
      </c>
      <c r="F98" s="47">
        <f>H98*'S5'!$D$11</f>
        <v>8910000</v>
      </c>
      <c r="G98" s="8">
        <f t="shared" si="9"/>
        <v>0</v>
      </c>
      <c r="H98">
        <v>4.05</v>
      </c>
      <c r="I98" s="100">
        <f t="shared" ref="I98:I100" si="10">H98*D98</f>
        <v>0</v>
      </c>
    </row>
    <row r="99" spans="2:9" ht="40.15" customHeight="1" x14ac:dyDescent="0.25">
      <c r="B99" s="3"/>
      <c r="C99" s="3" t="s">
        <v>68</v>
      </c>
      <c r="D99" s="39">
        <f>D98</f>
        <v>0</v>
      </c>
      <c r="E99" s="7" t="s">
        <v>4</v>
      </c>
      <c r="F99" s="47">
        <f>H99*'S5'!$D$11</f>
        <v>2919400</v>
      </c>
      <c r="G99" s="8">
        <f t="shared" si="9"/>
        <v>0</v>
      </c>
      <c r="H99">
        <v>1.327</v>
      </c>
      <c r="I99" s="100">
        <f t="shared" si="10"/>
        <v>0</v>
      </c>
    </row>
    <row r="100" spans="2:9" ht="40.15" customHeight="1" x14ac:dyDescent="0.25">
      <c r="B100" s="3"/>
      <c r="C100" s="3" t="s">
        <v>69</v>
      </c>
      <c r="D100" s="38">
        <f>'S5'!D4*2</f>
        <v>0</v>
      </c>
      <c r="E100" s="7" t="s">
        <v>4</v>
      </c>
      <c r="F100" s="47">
        <f>H100*'S5'!$D$11</f>
        <v>3432000</v>
      </c>
      <c r="G100" s="8">
        <f t="shared" si="9"/>
        <v>0</v>
      </c>
      <c r="H100">
        <v>1.56</v>
      </c>
      <c r="I100" s="100">
        <f t="shared" si="10"/>
        <v>0</v>
      </c>
    </row>
    <row r="101" spans="2:9" ht="40.15" customHeight="1" x14ac:dyDescent="0.25">
      <c r="B101" s="3"/>
      <c r="C101" s="3" t="s">
        <v>70</v>
      </c>
      <c r="D101" s="39">
        <v>6</v>
      </c>
      <c r="E101" s="7" t="s">
        <v>2</v>
      </c>
      <c r="F101" s="47">
        <v>1200000</v>
      </c>
      <c r="G101" s="8">
        <f t="shared" si="9"/>
        <v>7200000</v>
      </c>
    </row>
    <row r="102" spans="2:9" ht="40.15" customHeight="1" x14ac:dyDescent="0.25">
      <c r="B102" s="3"/>
      <c r="C102" s="3" t="s">
        <v>71</v>
      </c>
      <c r="D102" s="39">
        <f>C96*2</f>
        <v>4</v>
      </c>
      <c r="E102" s="7" t="s">
        <v>2</v>
      </c>
      <c r="F102" s="47">
        <v>8000000</v>
      </c>
      <c r="G102" s="8">
        <f t="shared" si="9"/>
        <v>32000000</v>
      </c>
    </row>
    <row r="103" spans="2:9" ht="40.15" customHeight="1" x14ac:dyDescent="0.25">
      <c r="B103" s="3"/>
      <c r="C103" s="3" t="s">
        <v>72</v>
      </c>
      <c r="D103" s="39">
        <f>D102</f>
        <v>4</v>
      </c>
      <c r="E103" s="7" t="s">
        <v>2</v>
      </c>
      <c r="F103" s="47">
        <v>4800000</v>
      </c>
      <c r="G103" s="8">
        <f>F103*D103</f>
        <v>19200000</v>
      </c>
    </row>
    <row r="104" spans="2:9" ht="40.15" customHeight="1" x14ac:dyDescent="0.25">
      <c r="B104" s="3"/>
      <c r="C104" s="3" t="s">
        <v>73</v>
      </c>
      <c r="D104" s="39">
        <f>C96*2</f>
        <v>4</v>
      </c>
      <c r="E104" s="7" t="s">
        <v>4</v>
      </c>
      <c r="F104" s="47">
        <v>3700000</v>
      </c>
      <c r="G104" s="8">
        <f>F104*D104</f>
        <v>14800000</v>
      </c>
    </row>
    <row r="105" spans="2:9" ht="40.15" customHeight="1" x14ac:dyDescent="0.25">
      <c r="B105" s="3"/>
      <c r="C105" s="3" t="s">
        <v>11</v>
      </c>
      <c r="D105" s="6">
        <f>((H97*D97)+(H98*D98)+(H99*D99)+(H100*D100))</f>
        <v>46.75</v>
      </c>
      <c r="E105" s="9" t="s">
        <v>12</v>
      </c>
      <c r="F105" s="47">
        <f>'S5'!D12</f>
        <v>450000</v>
      </c>
      <c r="G105" s="8">
        <f t="shared" si="9"/>
        <v>21037500</v>
      </c>
    </row>
    <row r="106" spans="2:9" ht="40.15" customHeight="1" x14ac:dyDescent="0.25">
      <c r="B106" s="10"/>
      <c r="C106" s="10"/>
      <c r="D106" s="197">
        <f>SUM(G97:G105)</f>
        <v>197087500</v>
      </c>
      <c r="E106" s="198"/>
      <c r="F106" s="198"/>
      <c r="G106" s="199"/>
    </row>
    <row r="109" spans="2:9" ht="21" x14ac:dyDescent="0.25">
      <c r="B109" s="10"/>
      <c r="C109" s="10"/>
      <c r="D109" s="197">
        <f>D106-G97-G104-(0.4*G105)</f>
        <v>71022500</v>
      </c>
      <c r="E109" s="198"/>
      <c r="F109" s="198"/>
      <c r="G109" s="199"/>
    </row>
  </sheetData>
  <mergeCells count="36">
    <mergeCell ref="D92:G92"/>
    <mergeCell ref="D95:F95"/>
    <mergeCell ref="D106:G106"/>
    <mergeCell ref="D109:G109"/>
    <mergeCell ref="D49:G49"/>
    <mergeCell ref="D52:F52"/>
    <mergeCell ref="D66:G66"/>
    <mergeCell ref="D69:F69"/>
    <mergeCell ref="D78:G78"/>
    <mergeCell ref="D81:F81"/>
    <mergeCell ref="K15:K17"/>
    <mergeCell ref="H18:I18"/>
    <mergeCell ref="K19:K21"/>
    <mergeCell ref="D23:F23"/>
    <mergeCell ref="D37:G37"/>
    <mergeCell ref="D39:F39"/>
    <mergeCell ref="B10:B13"/>
    <mergeCell ref="D10:E10"/>
    <mergeCell ref="D11:E11"/>
    <mergeCell ref="D12:E12"/>
    <mergeCell ref="D13:E13"/>
    <mergeCell ref="D15:F15"/>
    <mergeCell ref="B6:B9"/>
    <mergeCell ref="D6:E6"/>
    <mergeCell ref="D7:E7"/>
    <mergeCell ref="D8:E8"/>
    <mergeCell ref="H8:J8"/>
    <mergeCell ref="D9:E9"/>
    <mergeCell ref="B2:B5"/>
    <mergeCell ref="D2:E2"/>
    <mergeCell ref="H2:I2"/>
    <mergeCell ref="D3:E3"/>
    <mergeCell ref="H3:I3"/>
    <mergeCell ref="D4:E4"/>
    <mergeCell ref="H4:I4"/>
    <mergeCell ref="D5:E5"/>
  </mergeCells>
  <pageMargins left="0.7" right="0.7" top="0.75" bottom="0.75" header="0.3" footer="0.3"/>
  <pageSetup orientation="portrait" horizontalDpi="1200" verticalDpi="1200" r:id="rId1"/>
  <drawing r:id="rId2"/>
  <legacyDrawing r:id="rId3"/>
  <oleObjects>
    <mc:AlternateContent xmlns:mc="http://schemas.openxmlformats.org/markup-compatibility/2006">
      <mc:Choice Requires="x14">
        <oleObject progId="AutoCAD.Drawing.24" shapeId="27649" r:id="rId4">
          <objectPr defaultSize="0" autoPict="0" r:id="rId5">
            <anchor moveWithCells="1" sizeWithCells="1">
              <from>
                <xdr:col>1</xdr:col>
                <xdr:colOff>247650</xdr:colOff>
                <xdr:row>24</xdr:row>
                <xdr:rowOff>47625</xdr:rowOff>
              </from>
              <to>
                <xdr:col>1</xdr:col>
                <xdr:colOff>1485900</xdr:colOff>
                <xdr:row>24</xdr:row>
                <xdr:rowOff>476250</xdr:rowOff>
              </to>
            </anchor>
          </objectPr>
        </oleObject>
      </mc:Choice>
      <mc:Fallback>
        <oleObject progId="AutoCAD.Drawing.24" shapeId="27649" r:id="rId4"/>
      </mc:Fallback>
    </mc:AlternateContent>
    <mc:AlternateContent xmlns:mc="http://schemas.openxmlformats.org/markup-compatibility/2006">
      <mc:Choice Requires="x14">
        <oleObject progId="AutoCAD.Drawing.24" shapeId="27650" r:id="rId6">
          <objectPr defaultSize="0" autoPict="0" r:id="rId7">
            <anchor moveWithCells="1" sizeWithCells="1">
              <from>
                <xdr:col>1</xdr:col>
                <xdr:colOff>609600</xdr:colOff>
                <xdr:row>27</xdr:row>
                <xdr:rowOff>95250</xdr:rowOff>
              </from>
              <to>
                <xdr:col>1</xdr:col>
                <xdr:colOff>1143000</xdr:colOff>
                <xdr:row>27</xdr:row>
                <xdr:rowOff>438150</xdr:rowOff>
              </to>
            </anchor>
          </objectPr>
        </oleObject>
      </mc:Choice>
      <mc:Fallback>
        <oleObject progId="AutoCAD.Drawing.24" shapeId="27650" r:id="rId6"/>
      </mc:Fallback>
    </mc:AlternateContent>
    <mc:AlternateContent xmlns:mc="http://schemas.openxmlformats.org/markup-compatibility/2006">
      <mc:Choice Requires="x14">
        <oleObject progId="AutoCAD.Drawing.24" shapeId="27651" r:id="rId8">
          <objectPr defaultSize="0" autoPict="0" r:id="rId9">
            <anchor moveWithCells="1" sizeWithCells="1">
              <from>
                <xdr:col>1</xdr:col>
                <xdr:colOff>628650</xdr:colOff>
                <xdr:row>29</xdr:row>
                <xdr:rowOff>57150</xdr:rowOff>
              </from>
              <to>
                <xdr:col>1</xdr:col>
                <xdr:colOff>1123950</xdr:colOff>
                <xdr:row>29</xdr:row>
                <xdr:rowOff>438150</xdr:rowOff>
              </to>
            </anchor>
          </objectPr>
        </oleObject>
      </mc:Choice>
      <mc:Fallback>
        <oleObject progId="AutoCAD.Drawing.24" shapeId="27651" r:id="rId8"/>
      </mc:Fallback>
    </mc:AlternateContent>
    <mc:AlternateContent xmlns:mc="http://schemas.openxmlformats.org/markup-compatibility/2006">
      <mc:Choice Requires="x14">
        <oleObject progId="AutoCAD.Drawing.24" shapeId="27652" r:id="rId10">
          <objectPr defaultSize="0" autoPict="0" r:id="rId11">
            <anchor moveWithCells="1" sizeWithCells="1">
              <from>
                <xdr:col>1</xdr:col>
                <xdr:colOff>628650</xdr:colOff>
                <xdr:row>30</xdr:row>
                <xdr:rowOff>28575</xdr:rowOff>
              </from>
              <to>
                <xdr:col>1</xdr:col>
                <xdr:colOff>1047750</xdr:colOff>
                <xdr:row>30</xdr:row>
                <xdr:rowOff>476250</xdr:rowOff>
              </to>
            </anchor>
          </objectPr>
        </oleObject>
      </mc:Choice>
      <mc:Fallback>
        <oleObject progId="AutoCAD.Drawing.24" shapeId="27652" r:id="rId10"/>
      </mc:Fallback>
    </mc:AlternateContent>
    <mc:AlternateContent xmlns:mc="http://schemas.openxmlformats.org/markup-compatibility/2006">
      <mc:Choice Requires="x14">
        <oleObject progId="AutoCAD.Drawing.24" shapeId="27653" r:id="rId12">
          <objectPr defaultSize="0" autoPict="0" r:id="rId13">
            <anchor moveWithCells="1" sizeWithCells="1">
              <from>
                <xdr:col>1</xdr:col>
                <xdr:colOff>742950</xdr:colOff>
                <xdr:row>39</xdr:row>
                <xdr:rowOff>171450</xdr:rowOff>
              </from>
              <to>
                <xdr:col>1</xdr:col>
                <xdr:colOff>1047750</xdr:colOff>
                <xdr:row>40</xdr:row>
                <xdr:rowOff>504825</xdr:rowOff>
              </to>
            </anchor>
          </objectPr>
        </oleObject>
      </mc:Choice>
      <mc:Fallback>
        <oleObject progId="AutoCAD.Drawing.24" shapeId="27653" r:id="rId12"/>
      </mc:Fallback>
    </mc:AlternateContent>
    <mc:AlternateContent xmlns:mc="http://schemas.openxmlformats.org/markup-compatibility/2006">
      <mc:Choice Requires="x14">
        <oleObject progId="AutoCAD.Drawing.24" shapeId="27654" r:id="rId14">
          <objectPr defaultSize="0" autoPict="0" r:id="rId15">
            <anchor moveWithCells="1" sizeWithCells="1">
              <from>
                <xdr:col>1</xdr:col>
                <xdr:colOff>704850</xdr:colOff>
                <xdr:row>42</xdr:row>
                <xdr:rowOff>38100</xdr:rowOff>
              </from>
              <to>
                <xdr:col>1</xdr:col>
                <xdr:colOff>1104900</xdr:colOff>
                <xdr:row>42</xdr:row>
                <xdr:rowOff>504825</xdr:rowOff>
              </to>
            </anchor>
          </objectPr>
        </oleObject>
      </mc:Choice>
      <mc:Fallback>
        <oleObject progId="AutoCAD.Drawing.24" shapeId="27654" r:id="rId14"/>
      </mc:Fallback>
    </mc:AlternateContent>
    <mc:AlternateContent xmlns:mc="http://schemas.openxmlformats.org/markup-compatibility/2006">
      <mc:Choice Requires="x14">
        <oleObject progId="AutoCAD.Drawing.24" shapeId="27655" r:id="rId16">
          <objectPr defaultSize="0" autoPict="0" r:id="rId17">
            <anchor moveWithCells="1" sizeWithCells="1">
              <from>
                <xdr:col>1</xdr:col>
                <xdr:colOff>704850</xdr:colOff>
                <xdr:row>52</xdr:row>
                <xdr:rowOff>180975</xdr:rowOff>
              </from>
              <to>
                <xdr:col>1</xdr:col>
                <xdr:colOff>1066800</xdr:colOff>
                <xdr:row>54</xdr:row>
                <xdr:rowOff>57150</xdr:rowOff>
              </to>
            </anchor>
          </objectPr>
        </oleObject>
      </mc:Choice>
      <mc:Fallback>
        <oleObject progId="AutoCAD.Drawing.24" shapeId="27655" r:id="rId16"/>
      </mc:Fallback>
    </mc:AlternateContent>
    <mc:AlternateContent xmlns:mc="http://schemas.openxmlformats.org/markup-compatibility/2006">
      <mc:Choice Requires="x14">
        <oleObject progId="AutoCAD.Drawing.24" shapeId="27656" r:id="rId18">
          <objectPr defaultSize="0" autoPict="0" r:id="rId19">
            <anchor moveWithCells="1" sizeWithCells="1">
              <from>
                <xdr:col>1</xdr:col>
                <xdr:colOff>647700</xdr:colOff>
                <xdr:row>54</xdr:row>
                <xdr:rowOff>66675</xdr:rowOff>
              </from>
              <to>
                <xdr:col>1</xdr:col>
                <xdr:colOff>1038225</xdr:colOff>
                <xdr:row>54</xdr:row>
                <xdr:rowOff>485775</xdr:rowOff>
              </to>
            </anchor>
          </objectPr>
        </oleObject>
      </mc:Choice>
      <mc:Fallback>
        <oleObject progId="AutoCAD.Drawing.24" shapeId="27656" r:id="rId18"/>
      </mc:Fallback>
    </mc:AlternateContent>
    <mc:AlternateContent xmlns:mc="http://schemas.openxmlformats.org/markup-compatibility/2006">
      <mc:Choice Requires="x14">
        <oleObject progId="AutoCAD.Drawing.24" shapeId="27657" r:id="rId20">
          <objectPr defaultSize="0" autoPict="0" r:id="rId7">
            <anchor moveWithCells="1" sizeWithCells="1">
              <from>
                <xdr:col>1</xdr:col>
                <xdr:colOff>609600</xdr:colOff>
                <xdr:row>57</xdr:row>
                <xdr:rowOff>95250</xdr:rowOff>
              </from>
              <to>
                <xdr:col>1</xdr:col>
                <xdr:colOff>1143000</xdr:colOff>
                <xdr:row>57</xdr:row>
                <xdr:rowOff>438150</xdr:rowOff>
              </to>
            </anchor>
          </objectPr>
        </oleObject>
      </mc:Choice>
      <mc:Fallback>
        <oleObject progId="AutoCAD.Drawing.24" shapeId="27657" r:id="rId20"/>
      </mc:Fallback>
    </mc:AlternateContent>
    <mc:AlternateContent xmlns:mc="http://schemas.openxmlformats.org/markup-compatibility/2006">
      <mc:Choice Requires="x14">
        <oleObject progId="AutoCAD.Drawing.24" shapeId="27658" r:id="rId21">
          <objectPr defaultSize="0" autoPict="0" r:id="rId9">
            <anchor moveWithCells="1" sizeWithCells="1">
              <from>
                <xdr:col>1</xdr:col>
                <xdr:colOff>628650</xdr:colOff>
                <xdr:row>58</xdr:row>
                <xdr:rowOff>57150</xdr:rowOff>
              </from>
              <to>
                <xdr:col>1</xdr:col>
                <xdr:colOff>1123950</xdr:colOff>
                <xdr:row>58</xdr:row>
                <xdr:rowOff>438150</xdr:rowOff>
              </to>
            </anchor>
          </objectPr>
        </oleObject>
      </mc:Choice>
      <mc:Fallback>
        <oleObject progId="AutoCAD.Drawing.24" shapeId="27658" r:id="rId21"/>
      </mc:Fallback>
    </mc:AlternateContent>
    <mc:AlternateContent xmlns:mc="http://schemas.openxmlformats.org/markup-compatibility/2006">
      <mc:Choice Requires="x14">
        <oleObject progId="AutoCAD.Drawing.24" shapeId="27659" r:id="rId22">
          <objectPr defaultSize="0" autoPict="0" r:id="rId11">
            <anchor moveWithCells="1" sizeWithCells="1">
              <from>
                <xdr:col>1</xdr:col>
                <xdr:colOff>628650</xdr:colOff>
                <xdr:row>60</xdr:row>
                <xdr:rowOff>28575</xdr:rowOff>
              </from>
              <to>
                <xdr:col>1</xdr:col>
                <xdr:colOff>1047750</xdr:colOff>
                <xdr:row>60</xdr:row>
                <xdr:rowOff>476250</xdr:rowOff>
              </to>
            </anchor>
          </objectPr>
        </oleObject>
      </mc:Choice>
      <mc:Fallback>
        <oleObject progId="AutoCAD.Drawing.24" shapeId="27659" r:id="rId22"/>
      </mc:Fallback>
    </mc:AlternateContent>
    <mc:AlternateContent xmlns:mc="http://schemas.openxmlformats.org/markup-compatibility/2006">
      <mc:Choice Requires="x14">
        <oleObject progId="AutoCAD.Drawing.24" shapeId="27660" r:id="rId23">
          <objectPr defaultSize="0" autoPict="0" r:id="rId17">
            <anchor moveWithCells="1" sizeWithCells="1">
              <from>
                <xdr:col>1</xdr:col>
                <xdr:colOff>704850</xdr:colOff>
                <xdr:row>69</xdr:row>
                <xdr:rowOff>180975</xdr:rowOff>
              </from>
              <to>
                <xdr:col>1</xdr:col>
                <xdr:colOff>1066800</xdr:colOff>
                <xdr:row>71</xdr:row>
                <xdr:rowOff>57150</xdr:rowOff>
              </to>
            </anchor>
          </objectPr>
        </oleObject>
      </mc:Choice>
      <mc:Fallback>
        <oleObject progId="AutoCAD.Drawing.24" shapeId="27660" r:id="rId23"/>
      </mc:Fallback>
    </mc:AlternateContent>
    <mc:AlternateContent xmlns:mc="http://schemas.openxmlformats.org/markup-compatibility/2006">
      <mc:Choice Requires="x14">
        <oleObject progId="AutoCAD.Drawing.24" shapeId="27661" r:id="rId24">
          <objectPr defaultSize="0" autoPict="0" r:id="rId25">
            <anchor moveWithCells="1" sizeWithCells="1">
              <from>
                <xdr:col>1</xdr:col>
                <xdr:colOff>628650</xdr:colOff>
                <xdr:row>71</xdr:row>
                <xdr:rowOff>47625</xdr:rowOff>
              </from>
              <to>
                <xdr:col>1</xdr:col>
                <xdr:colOff>1047750</xdr:colOff>
                <xdr:row>71</xdr:row>
                <xdr:rowOff>476250</xdr:rowOff>
              </to>
            </anchor>
          </objectPr>
        </oleObject>
      </mc:Choice>
      <mc:Fallback>
        <oleObject progId="AutoCAD.Drawing.24" shapeId="27661" r:id="rId24"/>
      </mc:Fallback>
    </mc:AlternateContent>
    <mc:AlternateContent xmlns:mc="http://schemas.openxmlformats.org/markup-compatibility/2006">
      <mc:Choice Requires="x14">
        <oleObject progId="AutoCAD.Drawing.24" shapeId="27662" r:id="rId26">
          <objectPr defaultSize="0" autoPict="0" r:id="rId27">
            <anchor moveWithCells="1" sizeWithCells="1">
              <from>
                <xdr:col>1</xdr:col>
                <xdr:colOff>438150</xdr:colOff>
                <xdr:row>72</xdr:row>
                <xdr:rowOff>0</xdr:rowOff>
              </from>
              <to>
                <xdr:col>1</xdr:col>
                <xdr:colOff>1200150</xdr:colOff>
                <xdr:row>72</xdr:row>
                <xdr:rowOff>466725</xdr:rowOff>
              </to>
            </anchor>
          </objectPr>
        </oleObject>
      </mc:Choice>
      <mc:Fallback>
        <oleObject progId="AutoCAD.Drawing.24" shapeId="27662" r:id="rId26"/>
      </mc:Fallback>
    </mc:AlternateContent>
    <mc:AlternateContent xmlns:mc="http://schemas.openxmlformats.org/markup-compatibility/2006">
      <mc:Choice Requires="x14">
        <oleObject progId="AutoCAD.Drawing.24" shapeId="27663" r:id="rId28">
          <objectPr defaultSize="0" autoPict="0" r:id="rId29">
            <anchor moveWithCells="1" sizeWithCells="1">
              <from>
                <xdr:col>1</xdr:col>
                <xdr:colOff>161925</xdr:colOff>
                <xdr:row>82</xdr:row>
                <xdr:rowOff>114300</xdr:rowOff>
              </from>
              <to>
                <xdr:col>1</xdr:col>
                <xdr:colOff>1390650</xdr:colOff>
                <xdr:row>82</xdr:row>
                <xdr:rowOff>438150</xdr:rowOff>
              </to>
            </anchor>
          </objectPr>
        </oleObject>
      </mc:Choice>
      <mc:Fallback>
        <oleObject progId="AutoCAD.Drawing.24" shapeId="27663" r:id="rId28"/>
      </mc:Fallback>
    </mc:AlternateContent>
    <mc:AlternateContent xmlns:mc="http://schemas.openxmlformats.org/markup-compatibility/2006">
      <mc:Choice Requires="x14">
        <oleObject progId="AutoCAD.Drawing.24" shapeId="27664" r:id="rId30">
          <objectPr defaultSize="0" autoPict="0" r:id="rId31">
            <anchor moveWithCells="1" sizeWithCells="1">
              <from>
                <xdr:col>1</xdr:col>
                <xdr:colOff>314325</xdr:colOff>
                <xdr:row>83</xdr:row>
                <xdr:rowOff>28575</xdr:rowOff>
              </from>
              <to>
                <xdr:col>1</xdr:col>
                <xdr:colOff>1314450</xdr:colOff>
                <xdr:row>83</xdr:row>
                <xdr:rowOff>447675</xdr:rowOff>
              </to>
            </anchor>
          </objectPr>
        </oleObject>
      </mc:Choice>
      <mc:Fallback>
        <oleObject progId="AutoCAD.Drawing.24" shapeId="27664" r:id="rId30"/>
      </mc:Fallback>
    </mc:AlternateContent>
    <mc:AlternateContent xmlns:mc="http://schemas.openxmlformats.org/markup-compatibility/2006">
      <mc:Choice Requires="x14">
        <oleObject progId="AutoCAD.Drawing.24" shapeId="27665" r:id="rId32">
          <objectPr defaultSize="0" autoPict="0" r:id="rId33">
            <anchor moveWithCells="1" sizeWithCells="1">
              <from>
                <xdr:col>1</xdr:col>
                <xdr:colOff>438150</xdr:colOff>
                <xdr:row>84</xdr:row>
                <xdr:rowOff>38100</xdr:rowOff>
              </from>
              <to>
                <xdr:col>1</xdr:col>
                <xdr:colOff>1181100</xdr:colOff>
                <xdr:row>85</xdr:row>
                <xdr:rowOff>0</xdr:rowOff>
              </to>
            </anchor>
          </objectPr>
        </oleObject>
      </mc:Choice>
      <mc:Fallback>
        <oleObject progId="AutoCAD.Drawing.24" shapeId="27665" r:id="rId32"/>
      </mc:Fallback>
    </mc:AlternateContent>
    <mc:AlternateContent xmlns:mc="http://schemas.openxmlformats.org/markup-compatibility/2006">
      <mc:Choice Requires="x14">
        <oleObject progId="AutoCAD.Drawing.24" shapeId="27666" r:id="rId34">
          <objectPr defaultSize="0" autoPict="0" r:id="rId35">
            <anchor moveWithCells="1" sizeWithCells="1">
              <from>
                <xdr:col>1</xdr:col>
                <xdr:colOff>666750</xdr:colOff>
                <xdr:row>85</xdr:row>
                <xdr:rowOff>57150</xdr:rowOff>
              </from>
              <to>
                <xdr:col>1</xdr:col>
                <xdr:colOff>971550</xdr:colOff>
                <xdr:row>85</xdr:row>
                <xdr:rowOff>485775</xdr:rowOff>
              </to>
            </anchor>
          </objectPr>
        </oleObject>
      </mc:Choice>
      <mc:Fallback>
        <oleObject progId="AutoCAD.Drawing.24" shapeId="27666" r:id="rId34"/>
      </mc:Fallback>
    </mc:AlternateContent>
    <mc:AlternateContent xmlns:mc="http://schemas.openxmlformats.org/markup-compatibility/2006">
      <mc:Choice Requires="x14">
        <oleObject progId="AutoCAD.Drawing.24" shapeId="27667" r:id="rId36">
          <objectPr defaultSize="0" autoPict="0" r:id="rId37">
            <anchor moveWithCells="1" sizeWithCells="1">
              <from>
                <xdr:col>1</xdr:col>
                <xdr:colOff>447675</xdr:colOff>
                <xdr:row>86</xdr:row>
                <xdr:rowOff>57150</xdr:rowOff>
              </from>
              <to>
                <xdr:col>1</xdr:col>
                <xdr:colOff>1123950</xdr:colOff>
                <xdr:row>87</xdr:row>
                <xdr:rowOff>0</xdr:rowOff>
              </to>
            </anchor>
          </objectPr>
        </oleObject>
      </mc:Choice>
      <mc:Fallback>
        <oleObject progId="AutoCAD.Drawing.24" shapeId="27667" r:id="rId36"/>
      </mc:Fallback>
    </mc:AlternateContent>
    <mc:AlternateContent xmlns:mc="http://schemas.openxmlformats.org/markup-compatibility/2006">
      <mc:Choice Requires="x14">
        <oleObject progId="AutoCAD.Drawing.24" shapeId="27668" r:id="rId38">
          <objectPr defaultSize="0" autoPict="0" r:id="rId11">
            <anchor moveWithCells="1" sizeWithCells="1">
              <from>
                <xdr:col>1</xdr:col>
                <xdr:colOff>590550</xdr:colOff>
                <xdr:row>87</xdr:row>
                <xdr:rowOff>38100</xdr:rowOff>
              </from>
              <to>
                <xdr:col>1</xdr:col>
                <xdr:colOff>990600</xdr:colOff>
                <xdr:row>87</xdr:row>
                <xdr:rowOff>485775</xdr:rowOff>
              </to>
            </anchor>
          </objectPr>
        </oleObject>
      </mc:Choice>
      <mc:Fallback>
        <oleObject progId="AutoCAD.Drawing.24" shapeId="27668" r:id="rId38"/>
      </mc:Fallback>
    </mc:AlternateContent>
    <mc:AlternateContent xmlns:mc="http://schemas.openxmlformats.org/markup-compatibility/2006">
      <mc:Choice Requires="x14">
        <oleObject progId="AutoCAD.Drawing.24" shapeId="27669" r:id="rId39">
          <objectPr defaultSize="0" autoPict="0" r:id="rId40">
            <anchor moveWithCells="1" sizeWithCells="1">
              <from>
                <xdr:col>1</xdr:col>
                <xdr:colOff>323850</xdr:colOff>
                <xdr:row>89</xdr:row>
                <xdr:rowOff>28575</xdr:rowOff>
              </from>
              <to>
                <xdr:col>1</xdr:col>
                <xdr:colOff>1409700</xdr:colOff>
                <xdr:row>89</xdr:row>
                <xdr:rowOff>457200</xdr:rowOff>
              </to>
            </anchor>
          </objectPr>
        </oleObject>
      </mc:Choice>
      <mc:Fallback>
        <oleObject progId="AutoCAD.Drawing.24" shapeId="27669" r:id="rId39"/>
      </mc:Fallback>
    </mc:AlternateContent>
    <mc:AlternateContent xmlns:mc="http://schemas.openxmlformats.org/markup-compatibility/2006">
      <mc:Choice Requires="x14">
        <oleObject progId="AutoCAD.Drawing.24" shapeId="27670" r:id="rId41">
          <objectPr defaultSize="0" autoPict="0" r:id="rId42">
            <anchor moveWithCells="1" sizeWithCells="1">
              <from>
                <xdr:col>1</xdr:col>
                <xdr:colOff>657225</xdr:colOff>
                <xdr:row>97</xdr:row>
                <xdr:rowOff>47625</xdr:rowOff>
              </from>
              <to>
                <xdr:col>1</xdr:col>
                <xdr:colOff>1019175</xdr:colOff>
                <xdr:row>97</xdr:row>
                <xdr:rowOff>447675</xdr:rowOff>
              </to>
            </anchor>
          </objectPr>
        </oleObject>
      </mc:Choice>
      <mc:Fallback>
        <oleObject progId="AutoCAD.Drawing.24" shapeId="27670" r:id="rId41"/>
      </mc:Fallback>
    </mc:AlternateContent>
    <mc:AlternateContent xmlns:mc="http://schemas.openxmlformats.org/markup-compatibility/2006">
      <mc:Choice Requires="x14">
        <oleObject progId="AutoCAD.Drawing.24" shapeId="27671" r:id="rId43">
          <objectPr defaultSize="0" autoPict="0" r:id="rId44">
            <anchor moveWithCells="1" sizeWithCells="1">
              <from>
                <xdr:col>1</xdr:col>
                <xdr:colOff>666750</xdr:colOff>
                <xdr:row>96</xdr:row>
                <xdr:rowOff>57150</xdr:rowOff>
              </from>
              <to>
                <xdr:col>1</xdr:col>
                <xdr:colOff>1066800</xdr:colOff>
                <xdr:row>96</xdr:row>
                <xdr:rowOff>457200</xdr:rowOff>
              </to>
            </anchor>
          </objectPr>
        </oleObject>
      </mc:Choice>
      <mc:Fallback>
        <oleObject progId="AutoCAD.Drawing.24" shapeId="27671" r:id="rId43"/>
      </mc:Fallback>
    </mc:AlternateContent>
    <mc:AlternateContent xmlns:mc="http://schemas.openxmlformats.org/markup-compatibility/2006">
      <mc:Choice Requires="x14">
        <oleObject progId="AutoCAD.Drawing.24" shapeId="27672" r:id="rId45">
          <objectPr defaultSize="0" autoPict="0" r:id="rId46">
            <anchor moveWithCells="1" sizeWithCells="1">
              <from>
                <xdr:col>1</xdr:col>
                <xdr:colOff>323850</xdr:colOff>
                <xdr:row>98</xdr:row>
                <xdr:rowOff>190500</xdr:rowOff>
              </from>
              <to>
                <xdr:col>1</xdr:col>
                <xdr:colOff>1362075</xdr:colOff>
                <xdr:row>98</xdr:row>
                <xdr:rowOff>361950</xdr:rowOff>
              </to>
            </anchor>
          </objectPr>
        </oleObject>
      </mc:Choice>
      <mc:Fallback>
        <oleObject progId="AutoCAD.Drawing.24" shapeId="27672" r:id="rId45"/>
      </mc:Fallback>
    </mc:AlternateContent>
    <mc:AlternateContent xmlns:mc="http://schemas.openxmlformats.org/markup-compatibility/2006">
      <mc:Choice Requires="x14">
        <oleObject progId="AutoCAD.Drawing.24" shapeId="27673" r:id="rId47">
          <objectPr defaultSize="0" autoPict="0" r:id="rId48">
            <anchor moveWithCells="1" sizeWithCells="1">
              <from>
                <xdr:col>1</xdr:col>
                <xdr:colOff>704850</xdr:colOff>
                <xdr:row>100</xdr:row>
                <xdr:rowOff>19050</xdr:rowOff>
              </from>
              <to>
                <xdr:col>1</xdr:col>
                <xdr:colOff>1047750</xdr:colOff>
                <xdr:row>100</xdr:row>
                <xdr:rowOff>476250</xdr:rowOff>
              </to>
            </anchor>
          </objectPr>
        </oleObject>
      </mc:Choice>
      <mc:Fallback>
        <oleObject progId="AutoCAD.Drawing.24" shapeId="27673" r:id="rId47"/>
      </mc:Fallback>
    </mc:AlternateContent>
    <mc:AlternateContent xmlns:mc="http://schemas.openxmlformats.org/markup-compatibility/2006">
      <mc:Choice Requires="x14">
        <oleObject progId="AutoCAD.Drawing.24" shapeId="27674" r:id="rId49">
          <objectPr defaultSize="0" autoPict="0" r:id="rId50">
            <anchor moveWithCells="1" sizeWithCells="1">
              <from>
                <xdr:col>1</xdr:col>
                <xdr:colOff>657225</xdr:colOff>
                <xdr:row>102</xdr:row>
                <xdr:rowOff>0</xdr:rowOff>
              </from>
              <to>
                <xdr:col>1</xdr:col>
                <xdr:colOff>1095375</xdr:colOff>
                <xdr:row>102</xdr:row>
                <xdr:rowOff>514350</xdr:rowOff>
              </to>
            </anchor>
          </objectPr>
        </oleObject>
      </mc:Choice>
      <mc:Fallback>
        <oleObject progId="AutoCAD.Drawing.24" shapeId="27674" r:id="rId49"/>
      </mc:Fallback>
    </mc:AlternateContent>
    <mc:AlternateContent xmlns:mc="http://schemas.openxmlformats.org/markup-compatibility/2006">
      <mc:Choice Requires="x14">
        <oleObject progId="AutoCAD.Drawing.24" shapeId="27675" r:id="rId51">
          <objectPr defaultSize="0" autoPict="0" r:id="rId52">
            <anchor moveWithCells="1" sizeWithCells="1">
              <from>
                <xdr:col>1</xdr:col>
                <xdr:colOff>476250</xdr:colOff>
                <xdr:row>101</xdr:row>
                <xdr:rowOff>9525</xdr:rowOff>
              </from>
              <to>
                <xdr:col>1</xdr:col>
                <xdr:colOff>1247775</xdr:colOff>
                <xdr:row>101</xdr:row>
                <xdr:rowOff>495300</xdr:rowOff>
              </to>
            </anchor>
          </objectPr>
        </oleObject>
      </mc:Choice>
      <mc:Fallback>
        <oleObject progId="AutoCAD.Drawing.24" shapeId="27675" r:id="rId51"/>
      </mc:Fallback>
    </mc:AlternateContent>
    <mc:AlternateContent xmlns:mc="http://schemas.openxmlformats.org/markup-compatibility/2006">
      <mc:Choice Requires="x14">
        <oleObject progId="AutoCAD.Drawing.24" shapeId="27676" r:id="rId53">
          <objectPr defaultSize="0" autoPict="0" r:id="rId54">
            <anchor moveWithCells="1" sizeWithCells="1">
              <from>
                <xdr:col>1</xdr:col>
                <xdr:colOff>409575</xdr:colOff>
                <xdr:row>99</xdr:row>
                <xdr:rowOff>19050</xdr:rowOff>
              </from>
              <to>
                <xdr:col>1</xdr:col>
                <xdr:colOff>1162050</xdr:colOff>
                <xdr:row>99</xdr:row>
                <xdr:rowOff>485775</xdr:rowOff>
              </to>
            </anchor>
          </objectPr>
        </oleObject>
      </mc:Choice>
      <mc:Fallback>
        <oleObject progId="AutoCAD.Drawing.24" shapeId="27676" r:id="rId53"/>
      </mc:Fallback>
    </mc:AlternateContent>
    <mc:AlternateContent xmlns:mc="http://schemas.openxmlformats.org/markup-compatibility/2006">
      <mc:Choice Requires="x14">
        <oleObject progId="AutoCAD.Drawing.24" shapeId="27677" r:id="rId55">
          <objectPr defaultSize="0" autoPict="0" r:id="rId27">
            <anchor moveWithCells="1" sizeWithCells="1">
              <from>
                <xdr:col>1</xdr:col>
                <xdr:colOff>438150</xdr:colOff>
                <xdr:row>88</xdr:row>
                <xdr:rowOff>0</xdr:rowOff>
              </from>
              <to>
                <xdr:col>1</xdr:col>
                <xdr:colOff>1200150</xdr:colOff>
                <xdr:row>88</xdr:row>
                <xdr:rowOff>466725</xdr:rowOff>
              </to>
            </anchor>
          </objectPr>
        </oleObject>
      </mc:Choice>
      <mc:Fallback>
        <oleObject progId="AutoCAD.Drawing.24" shapeId="27677" r:id="rId55"/>
      </mc:Fallback>
    </mc:AlternateContent>
  </oleObjec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6DFF18-26A8-4128-9EEA-097B3C02AA92}">
  <sheetPr>
    <pageSetUpPr fitToPage="1"/>
  </sheetPr>
  <dimension ref="A1:Z144"/>
  <sheetViews>
    <sheetView rightToLeft="1" tabSelected="1" view="pageBreakPreview" zoomScale="85" zoomScaleNormal="85" zoomScaleSheetLayoutView="85" workbookViewId="0">
      <selection activeCell="E12" sqref="E12"/>
    </sheetView>
  </sheetViews>
  <sheetFormatPr defaultRowHeight="15" x14ac:dyDescent="0.25"/>
  <cols>
    <col min="1" max="1" width="6.28515625" customWidth="1"/>
    <col min="2" max="2" width="14.85546875" customWidth="1"/>
    <col min="3" max="5" width="10.5703125" customWidth="1"/>
    <col min="6" max="6" width="12" customWidth="1"/>
    <col min="7" max="7" width="12.5703125" customWidth="1"/>
    <col min="8" max="8" width="20.5703125" customWidth="1"/>
    <col min="9" max="9" width="3.42578125" customWidth="1"/>
    <col min="10" max="10" width="6.42578125" customWidth="1"/>
    <col min="11" max="11" width="3.42578125" customWidth="1"/>
    <col min="12" max="12" width="9.7109375" customWidth="1"/>
    <col min="13" max="13" width="5.140625" customWidth="1"/>
    <col min="14" max="14" width="10.42578125" customWidth="1"/>
    <col min="15" max="15" width="5.42578125" customWidth="1"/>
    <col min="16" max="16" width="14.28515625" customWidth="1"/>
    <col min="17" max="17" width="17" customWidth="1"/>
    <col min="18" max="18" width="6.42578125" customWidth="1"/>
    <col min="19" max="19" width="5.7109375" customWidth="1"/>
    <col min="20" max="20" width="11.42578125" customWidth="1"/>
    <col min="21" max="21" width="12.140625" customWidth="1"/>
    <col min="22" max="22" width="9.7109375" customWidth="1"/>
    <col min="23" max="23" width="14.42578125" customWidth="1"/>
    <col min="24" max="24" width="9.140625" customWidth="1"/>
    <col min="25" max="25" width="13.28515625" customWidth="1"/>
    <col min="26" max="26" width="9.140625" customWidth="1"/>
  </cols>
  <sheetData>
    <row r="1" spans="1:26" ht="19.5" thickBot="1" x14ac:dyDescent="0.3">
      <c r="A1" s="130"/>
      <c r="B1" s="298" t="s">
        <v>217</v>
      </c>
      <c r="C1" s="299"/>
      <c r="D1" s="299"/>
      <c r="E1" s="299"/>
      <c r="F1" s="299"/>
      <c r="G1" s="299"/>
      <c r="H1" s="300"/>
      <c r="I1" s="130"/>
      <c r="J1" s="130"/>
      <c r="T1" s="301">
        <f>SUM(U15:U31)</f>
        <v>0</v>
      </c>
      <c r="U1" s="301"/>
      <c r="V1" s="49"/>
      <c r="W1" s="49"/>
    </row>
    <row r="2" spans="1:26" ht="18" x14ac:dyDescent="0.45">
      <c r="A2" s="130"/>
      <c r="B2" s="278" t="s">
        <v>91</v>
      </c>
      <c r="C2" s="302"/>
      <c r="D2" s="302"/>
      <c r="E2" s="279"/>
      <c r="F2" s="303" t="s">
        <v>92</v>
      </c>
      <c r="G2" s="304"/>
      <c r="H2" s="305"/>
      <c r="I2" s="130"/>
      <c r="J2" s="130"/>
      <c r="T2" s="49"/>
      <c r="U2" s="49"/>
      <c r="V2" s="49"/>
      <c r="W2" s="49"/>
    </row>
    <row r="3" spans="1:26" ht="19.5" x14ac:dyDescent="0.45">
      <c r="A3" s="130"/>
      <c r="B3" s="306" t="s">
        <v>93</v>
      </c>
      <c r="C3" s="307"/>
      <c r="D3" s="308" t="s">
        <v>94</v>
      </c>
      <c r="E3" s="309"/>
      <c r="F3" s="131" t="s">
        <v>95</v>
      </c>
      <c r="G3" s="308"/>
      <c r="H3" s="310"/>
      <c r="I3" s="130"/>
      <c r="J3" s="130"/>
      <c r="T3" s="49"/>
      <c r="U3" s="49"/>
      <c r="V3" s="49"/>
      <c r="W3" s="49"/>
    </row>
    <row r="4" spans="1:26" ht="19.5" x14ac:dyDescent="0.45">
      <c r="A4" s="130"/>
      <c r="B4" s="306" t="s">
        <v>96</v>
      </c>
      <c r="C4" s="307"/>
      <c r="D4" s="308"/>
      <c r="E4" s="309"/>
      <c r="F4" s="131" t="s">
        <v>97</v>
      </c>
      <c r="G4" s="308" t="s">
        <v>98</v>
      </c>
      <c r="H4" s="310"/>
      <c r="I4" s="130"/>
      <c r="J4" s="130"/>
      <c r="T4" s="49"/>
      <c r="U4" s="49"/>
      <c r="V4" s="49"/>
      <c r="W4" s="49"/>
    </row>
    <row r="5" spans="1:26" ht="20.25" thickBot="1" x14ac:dyDescent="0.3">
      <c r="A5" s="130"/>
      <c r="B5" s="311" t="s">
        <v>99</v>
      </c>
      <c r="C5" s="312"/>
      <c r="D5" s="313"/>
      <c r="E5" s="314"/>
      <c r="F5" s="132" t="s">
        <v>100</v>
      </c>
      <c r="G5" s="315" t="s">
        <v>101</v>
      </c>
      <c r="H5" s="316"/>
      <c r="I5" s="130"/>
      <c r="J5" s="130"/>
      <c r="T5" s="49"/>
      <c r="U5" s="49"/>
      <c r="V5" s="49"/>
      <c r="W5" s="49"/>
    </row>
    <row r="6" spans="1:26" ht="16.5" thickBot="1" x14ac:dyDescent="0.3">
      <c r="A6" s="130"/>
      <c r="B6" s="317"/>
      <c r="C6" s="318"/>
      <c r="D6" s="318"/>
      <c r="E6" s="318"/>
      <c r="F6" s="318"/>
      <c r="G6" s="318"/>
      <c r="H6" s="319"/>
      <c r="I6" s="130"/>
      <c r="J6" s="130"/>
      <c r="T6" s="49"/>
      <c r="U6" s="49"/>
      <c r="V6" s="49"/>
      <c r="W6" s="49"/>
    </row>
    <row r="7" spans="1:26" ht="18" x14ac:dyDescent="0.25">
      <c r="A7" s="130"/>
      <c r="B7" s="278" t="s">
        <v>102</v>
      </c>
      <c r="C7" s="279"/>
      <c r="D7" s="320" t="s">
        <v>103</v>
      </c>
      <c r="E7" s="320"/>
      <c r="F7" s="320"/>
      <c r="G7" s="321"/>
      <c r="H7" s="322"/>
      <c r="I7" s="130"/>
      <c r="J7" s="130"/>
      <c r="T7" s="49"/>
      <c r="U7" s="49"/>
      <c r="V7" s="49"/>
      <c r="W7" s="49"/>
    </row>
    <row r="8" spans="1:26" ht="18.399999999999999" customHeight="1" x14ac:dyDescent="0.25">
      <c r="A8" s="130"/>
      <c r="B8" s="282" t="s">
        <v>104</v>
      </c>
      <c r="C8" s="283"/>
      <c r="D8" s="289" t="s">
        <v>219</v>
      </c>
      <c r="E8" s="290"/>
      <c r="F8" s="290"/>
      <c r="G8" s="290"/>
      <c r="H8" s="291"/>
      <c r="I8" s="130"/>
      <c r="J8" s="130"/>
      <c r="T8" s="49"/>
      <c r="U8" s="49"/>
      <c r="V8" s="49"/>
      <c r="W8" s="49"/>
    </row>
    <row r="9" spans="1:26" ht="18.399999999999999" customHeight="1" x14ac:dyDescent="0.25">
      <c r="A9" s="130"/>
      <c r="B9" s="284" t="s">
        <v>107</v>
      </c>
      <c r="C9" s="285"/>
      <c r="D9" s="292"/>
      <c r="E9" s="293"/>
      <c r="F9" s="293"/>
      <c r="G9" s="293"/>
      <c r="H9" s="294"/>
      <c r="I9" s="130"/>
      <c r="J9" s="133"/>
      <c r="K9" s="50"/>
      <c r="M9" s="51"/>
      <c r="N9" s="51"/>
      <c r="O9" s="51"/>
      <c r="P9" s="52"/>
      <c r="Q9" s="51"/>
      <c r="R9" s="51"/>
      <c r="S9" s="51" t="s">
        <v>95</v>
      </c>
      <c r="T9" s="215">
        <f>G3</f>
        <v>0</v>
      </c>
      <c r="U9" s="215"/>
      <c r="V9" s="53"/>
      <c r="W9" s="53"/>
    </row>
    <row r="10" spans="1:26" ht="19.5" thickBot="1" x14ac:dyDescent="0.3">
      <c r="A10" s="130"/>
      <c r="B10" s="286" t="s">
        <v>111</v>
      </c>
      <c r="C10" s="287"/>
      <c r="D10" s="295"/>
      <c r="E10" s="296"/>
      <c r="F10" s="296"/>
      <c r="G10" s="296"/>
      <c r="H10" s="297"/>
      <c r="I10" s="134"/>
      <c r="J10" s="133"/>
      <c r="K10" s="50"/>
      <c r="M10" s="51"/>
      <c r="N10" s="51"/>
      <c r="O10" s="51"/>
      <c r="P10" s="51"/>
      <c r="Q10" s="51"/>
      <c r="R10" s="51"/>
      <c r="S10" s="51" t="s">
        <v>97</v>
      </c>
      <c r="T10" s="216" t="str">
        <f>G4</f>
        <v>1403/01/20</v>
      </c>
      <c r="U10" s="216"/>
      <c r="V10" s="51"/>
      <c r="W10" s="51"/>
    </row>
    <row r="11" spans="1:26" ht="18.75" x14ac:dyDescent="0.25">
      <c r="A11" s="130"/>
      <c r="B11" s="135"/>
      <c r="C11" s="136" t="s">
        <v>118</v>
      </c>
      <c r="D11" s="136" t="s">
        <v>119</v>
      </c>
      <c r="E11" s="136" t="s">
        <v>0</v>
      </c>
      <c r="F11" s="136" t="s">
        <v>102</v>
      </c>
      <c r="G11" s="136" t="s">
        <v>213</v>
      </c>
      <c r="H11" s="137" t="s">
        <v>120</v>
      </c>
      <c r="I11" s="134"/>
      <c r="J11" s="134"/>
      <c r="K11" s="42"/>
      <c r="M11" s="51"/>
      <c r="N11" s="51" t="s">
        <v>146</v>
      </c>
      <c r="O11" s="51"/>
      <c r="Q11" s="259" t="s">
        <v>121</v>
      </c>
      <c r="R11" s="51"/>
      <c r="S11" s="51" t="s">
        <v>100</v>
      </c>
      <c r="T11" s="216" t="str">
        <f>G5</f>
        <v>ندارد</v>
      </c>
      <c r="U11" s="216"/>
      <c r="V11" s="51"/>
      <c r="W11" s="51"/>
      <c r="Z11" s="54"/>
    </row>
    <row r="12" spans="1:26" ht="18.399999999999999" customHeight="1" x14ac:dyDescent="0.25">
      <c r="A12" s="130"/>
      <c r="B12" s="177" t="str">
        <f>'S1'!$E$3</f>
        <v>CORRECT RANGE</v>
      </c>
      <c r="C12" s="181"/>
      <c r="D12" s="181"/>
      <c r="E12" s="181"/>
      <c r="F12" s="182" t="s">
        <v>104</v>
      </c>
      <c r="G12" s="183" t="s">
        <v>212</v>
      </c>
      <c r="H12" s="253" t="s">
        <v>86</v>
      </c>
      <c r="I12" s="134"/>
      <c r="J12" s="138" t="s">
        <v>146</v>
      </c>
      <c r="K12" s="55"/>
      <c r="M12" s="56"/>
      <c r="N12" s="56"/>
      <c r="O12" s="56"/>
      <c r="P12" s="56"/>
      <c r="Q12" s="260"/>
      <c r="R12" s="56"/>
      <c r="S12" s="56"/>
      <c r="T12" s="56"/>
      <c r="U12" s="56"/>
      <c r="V12" s="57"/>
      <c r="W12" s="57"/>
      <c r="Y12" s="58"/>
    </row>
    <row r="13" spans="1:26" ht="18.75" x14ac:dyDescent="0.25">
      <c r="A13" s="130"/>
      <c r="B13" s="177" t="str">
        <f>'S2'!$E$3</f>
        <v>CORRECT RANGE</v>
      </c>
      <c r="C13" s="181"/>
      <c r="D13" s="181"/>
      <c r="E13" s="181"/>
      <c r="F13" s="182" t="s">
        <v>104</v>
      </c>
      <c r="G13" s="183" t="s">
        <v>212</v>
      </c>
      <c r="H13" s="253"/>
      <c r="I13" s="134"/>
      <c r="J13" s="138"/>
      <c r="K13" s="55"/>
      <c r="M13" s="261" t="s">
        <v>124</v>
      </c>
      <c r="N13" s="262"/>
      <c r="O13" s="262"/>
      <c r="P13" s="59" t="str">
        <f>D3</f>
        <v>جناب آقای</v>
      </c>
      <c r="Q13" s="60">
        <f>D4</f>
        <v>0</v>
      </c>
      <c r="R13" s="60"/>
      <c r="S13" s="60"/>
      <c r="T13" s="60" t="s">
        <v>125</v>
      </c>
      <c r="U13" s="61">
        <f>D5</f>
        <v>0</v>
      </c>
      <c r="V13" s="62"/>
      <c r="W13" s="63"/>
    </row>
    <row r="14" spans="1:26" ht="18" x14ac:dyDescent="0.25">
      <c r="A14" s="130"/>
      <c r="B14" s="177" t="str">
        <f>'S3'!$E$3</f>
        <v>CORRECT RANGE</v>
      </c>
      <c r="C14" s="181"/>
      <c r="D14" s="181"/>
      <c r="E14" s="181"/>
      <c r="F14" s="182" t="s">
        <v>104</v>
      </c>
      <c r="G14" s="183" t="s">
        <v>212</v>
      </c>
      <c r="H14" s="253"/>
      <c r="I14" s="134"/>
      <c r="J14" s="139" t="s">
        <v>117</v>
      </c>
      <c r="K14" s="55"/>
      <c r="M14" s="65" t="s">
        <v>117</v>
      </c>
      <c r="N14" s="263"/>
      <c r="O14" s="264"/>
      <c r="P14" s="264"/>
      <c r="Q14" s="66" t="s">
        <v>126</v>
      </c>
      <c r="R14" s="265" t="s">
        <v>1</v>
      </c>
      <c r="S14" s="266"/>
      <c r="T14" s="65" t="s">
        <v>127</v>
      </c>
      <c r="U14" s="65" t="s">
        <v>128</v>
      </c>
      <c r="V14" s="67"/>
      <c r="W14" s="68"/>
    </row>
    <row r="15" spans="1:26" ht="18.75" x14ac:dyDescent="0.25">
      <c r="A15" s="130"/>
      <c r="B15" s="177" t="str">
        <f>'S4'!$E$3</f>
        <v>CORRECT RANGE</v>
      </c>
      <c r="C15" s="181"/>
      <c r="D15" s="181"/>
      <c r="E15" s="181"/>
      <c r="F15" s="182" t="s">
        <v>104</v>
      </c>
      <c r="G15" s="183" t="s">
        <v>212</v>
      </c>
      <c r="H15" s="253"/>
      <c r="I15" s="151"/>
      <c r="J15" s="238">
        <v>1</v>
      </c>
      <c r="K15" s="55"/>
      <c r="M15" s="231">
        <f>J15</f>
        <v>1</v>
      </c>
      <c r="N15" s="69">
        <f>E12</f>
        <v>0</v>
      </c>
      <c r="O15" s="269" t="str">
        <f>IF(AND(G12="متحرک"),"سقف متحرک آلومینیومی",IF(AND(G12="ثابت"),"سقف ثابت آلومینیومی",0))</f>
        <v>سقف متحرک آلومینیومی</v>
      </c>
      <c r="P15" s="270"/>
      <c r="Q15" s="70" t="str">
        <f>F12</f>
        <v>Roof Level</v>
      </c>
      <c r="R15" s="233">
        <f>Q16*O16*N15/10000</f>
        <v>0</v>
      </c>
      <c r="S15" s="234"/>
      <c r="T15" s="221">
        <f>FLOOR(IF(AND(O19=F100),(IF(R15=0,0,(('S1'!F8)*((100-F22)/100)))),IF(AND(O19=F101),(IF(R15=0,0,(('S1'!F8)*((100-F22)/100)))),IF(AND(O19=F102),(IF(R15=0,0,(('S1'!F8)*((100-F22)/100)))),0)))*(1+(F21/100)),1000000)</f>
        <v>0</v>
      </c>
      <c r="U15" s="221">
        <f>FLOOR(T15*R15,100000)</f>
        <v>0</v>
      </c>
      <c r="V15" s="71"/>
      <c r="W15" s="72"/>
    </row>
    <row r="16" spans="1:26" ht="19.5" thickBot="1" x14ac:dyDescent="0.3">
      <c r="A16" s="130"/>
      <c r="B16" s="177" t="str">
        <f>'S5'!$E$3</f>
        <v>CORRECT RANGE</v>
      </c>
      <c r="C16" s="184"/>
      <c r="D16" s="184"/>
      <c r="E16" s="184"/>
      <c r="F16" s="182" t="s">
        <v>104</v>
      </c>
      <c r="G16" s="183" t="s">
        <v>212</v>
      </c>
      <c r="H16" s="254"/>
      <c r="I16" s="134"/>
      <c r="J16" s="267"/>
      <c r="K16" s="55"/>
      <c r="M16" s="268"/>
      <c r="N16" s="73" t="s">
        <v>129</v>
      </c>
      <c r="O16" s="223">
        <f>C12</f>
        <v>0</v>
      </c>
      <c r="P16" s="224"/>
      <c r="Q16" s="74">
        <f>D12</f>
        <v>0</v>
      </c>
      <c r="R16" s="271"/>
      <c r="S16" s="272"/>
      <c r="T16" s="273"/>
      <c r="U16" s="273"/>
      <c r="V16" s="71"/>
      <c r="W16" s="72"/>
      <c r="Y16" s="58"/>
    </row>
    <row r="17" spans="1:23" ht="19.5" x14ac:dyDescent="0.25">
      <c r="A17" s="130"/>
      <c r="B17" s="162" t="s">
        <v>34</v>
      </c>
      <c r="C17" s="163">
        <v>2200000</v>
      </c>
      <c r="D17" s="179" t="s">
        <v>133</v>
      </c>
      <c r="E17" s="288" t="s">
        <v>122</v>
      </c>
      <c r="F17" s="288"/>
      <c r="G17" s="280" t="s">
        <v>218</v>
      </c>
      <c r="H17" s="281"/>
      <c r="I17" s="134"/>
      <c r="J17" s="267"/>
      <c r="K17" s="55"/>
      <c r="M17" s="268"/>
      <c r="N17" s="275" t="s">
        <v>132</v>
      </c>
      <c r="O17" s="276"/>
      <c r="P17" s="276"/>
      <c r="Q17" s="277"/>
      <c r="R17" s="271"/>
      <c r="S17" s="272"/>
      <c r="T17" s="273"/>
      <c r="U17" s="273"/>
      <c r="V17" s="71"/>
      <c r="W17" s="72"/>
    </row>
    <row r="18" spans="1:23" ht="19.5" x14ac:dyDescent="0.25">
      <c r="A18" s="130"/>
      <c r="B18" s="164" t="s">
        <v>21</v>
      </c>
      <c r="C18" s="165">
        <v>700000</v>
      </c>
      <c r="D18" s="180" t="s">
        <v>136</v>
      </c>
      <c r="E18" s="248" t="s">
        <v>122</v>
      </c>
      <c r="F18" s="248"/>
      <c r="G18" s="255" t="s">
        <v>13</v>
      </c>
      <c r="H18" s="256"/>
      <c r="I18" s="134"/>
      <c r="J18" s="267"/>
      <c r="K18" s="55"/>
      <c r="M18" s="268"/>
      <c r="N18" s="265" t="s">
        <v>201</v>
      </c>
      <c r="O18" s="274"/>
      <c r="P18" s="274"/>
      <c r="Q18" s="266"/>
      <c r="R18" s="271"/>
      <c r="S18" s="272"/>
      <c r="T18" s="273"/>
      <c r="U18" s="273"/>
      <c r="V18" s="71"/>
      <c r="W18" s="72"/>
    </row>
    <row r="19" spans="1:23" ht="19.5" x14ac:dyDescent="0.25">
      <c r="A19" s="130"/>
      <c r="B19" s="166" t="s">
        <v>76</v>
      </c>
      <c r="C19" s="165">
        <v>450000</v>
      </c>
      <c r="D19" s="187" t="s">
        <v>220</v>
      </c>
      <c r="E19" s="249">
        <v>0</v>
      </c>
      <c r="F19" s="249"/>
      <c r="G19" s="180" t="s">
        <v>139</v>
      </c>
      <c r="H19" s="186" t="s">
        <v>140</v>
      </c>
      <c r="I19" s="134"/>
      <c r="J19" s="267"/>
      <c r="K19" s="55"/>
      <c r="M19" s="268"/>
      <c r="N19" s="75" t="s">
        <v>135</v>
      </c>
      <c r="O19" s="210" t="str">
        <f>G18</f>
        <v xml:space="preserve">120Nm بکر آلمان </v>
      </c>
      <c r="P19" s="210"/>
      <c r="Q19" s="211"/>
      <c r="R19" s="271"/>
      <c r="S19" s="272"/>
      <c r="T19" s="273"/>
      <c r="U19" s="273"/>
      <c r="V19" s="71"/>
      <c r="W19" s="72"/>
    </row>
    <row r="20" spans="1:23" ht="22.5" x14ac:dyDescent="0.25">
      <c r="A20" s="130"/>
      <c r="B20" s="188" t="s">
        <v>214</v>
      </c>
      <c r="C20" s="178">
        <v>28</v>
      </c>
      <c r="D20" s="187" t="s">
        <v>221</v>
      </c>
      <c r="E20" s="250">
        <v>0</v>
      </c>
      <c r="F20" s="250"/>
      <c r="G20" s="180" t="s">
        <v>141</v>
      </c>
      <c r="H20" s="185">
        <v>65</v>
      </c>
      <c r="I20" s="134"/>
      <c r="J20" s="239"/>
      <c r="K20" s="55"/>
      <c r="M20" s="232"/>
      <c r="N20" s="265" t="s">
        <v>138</v>
      </c>
      <c r="O20" s="274"/>
      <c r="P20" s="274"/>
      <c r="Q20" s="266"/>
      <c r="R20" s="235"/>
      <c r="S20" s="236"/>
      <c r="T20" s="222"/>
      <c r="U20" s="222"/>
      <c r="V20" s="71"/>
      <c r="W20" s="72"/>
    </row>
    <row r="21" spans="1:23" ht="18.75" x14ac:dyDescent="0.25">
      <c r="A21" s="130"/>
      <c r="B21" s="171" t="s">
        <v>142</v>
      </c>
      <c r="C21" s="170">
        <v>6500000</v>
      </c>
      <c r="D21" s="251" t="s">
        <v>216</v>
      </c>
      <c r="E21" s="251"/>
      <c r="F21" s="167">
        <v>20</v>
      </c>
      <c r="G21" s="175" t="s">
        <v>143</v>
      </c>
      <c r="H21" s="172">
        <v>8</v>
      </c>
      <c r="I21" s="134"/>
      <c r="J21" s="238">
        <v>2</v>
      </c>
      <c r="K21" s="55"/>
      <c r="M21" s="231">
        <f>J21</f>
        <v>2</v>
      </c>
      <c r="N21" s="76">
        <f>E13</f>
        <v>0</v>
      </c>
      <c r="O21" s="240" t="str">
        <f>IF(AND(G13="متحرک"),"سقف متحرک آلومینیومی",IF(AND(G13="ثابت"),"سقف ثابت آلومینیومی",0))</f>
        <v>سقف متحرک آلومینیومی</v>
      </c>
      <c r="P21" s="241"/>
      <c r="Q21" s="77" t="str">
        <f>F13</f>
        <v>Roof Level</v>
      </c>
      <c r="R21" s="233">
        <f>Q22*O22*N21/10000</f>
        <v>0</v>
      </c>
      <c r="S21" s="234"/>
      <c r="T21" s="221">
        <f>FLOOR(IF(AND(O19=F100),(IF(R21=0,0,(('S2'!F8)*((100-F22)/100)))),IF(AND(O19=F101),(IF(R21=0,0,(('S2'!F8)*((100-F22)/100)))),IF(AND(O19=F102),(IF(R21=0,0,(('S2'!F8)*((100-F22)/100)))),0)))*(1+(F21/100)),1000000)</f>
        <v>0</v>
      </c>
      <c r="U21" s="221">
        <f>FLOOR(T21*R21,100000)</f>
        <v>0</v>
      </c>
      <c r="V21" s="71"/>
      <c r="W21" s="72"/>
    </row>
    <row r="22" spans="1:23" ht="19.5" thickBot="1" x14ac:dyDescent="0.3">
      <c r="A22" s="130"/>
      <c r="B22" s="168" t="s">
        <v>205</v>
      </c>
      <c r="C22" s="169">
        <v>1240000</v>
      </c>
      <c r="D22" s="252" t="s">
        <v>145</v>
      </c>
      <c r="E22" s="252"/>
      <c r="F22" s="173">
        <v>0</v>
      </c>
      <c r="G22" s="176" t="s">
        <v>144</v>
      </c>
      <c r="H22" s="174">
        <v>10</v>
      </c>
      <c r="I22" s="134"/>
      <c r="J22" s="239"/>
      <c r="K22" s="55"/>
      <c r="M22" s="232"/>
      <c r="N22" s="73" t="s">
        <v>129</v>
      </c>
      <c r="O22" s="223">
        <f>C13</f>
        <v>0</v>
      </c>
      <c r="P22" s="224"/>
      <c r="Q22" s="78">
        <f>D13</f>
        <v>0</v>
      </c>
      <c r="R22" s="235"/>
      <c r="S22" s="236"/>
      <c r="T22" s="222"/>
      <c r="U22" s="222"/>
      <c r="V22" s="71"/>
      <c r="W22" s="72"/>
    </row>
    <row r="23" spans="1:23" ht="18.75" x14ac:dyDescent="0.25">
      <c r="A23" s="130"/>
      <c r="B23" s="130"/>
      <c r="C23" s="130"/>
      <c r="D23" s="130"/>
      <c r="E23" s="130"/>
      <c r="F23" s="130"/>
      <c r="G23" s="130"/>
      <c r="H23" s="130"/>
      <c r="I23" s="134"/>
      <c r="J23" s="238">
        <v>3</v>
      </c>
      <c r="K23" s="55"/>
      <c r="M23" s="231">
        <f t="shared" ref="M23" si="0">J23</f>
        <v>3</v>
      </c>
      <c r="N23" s="76">
        <f>E14</f>
        <v>0</v>
      </c>
      <c r="O23" s="257" t="str">
        <f>IF(AND(G14="متحرک"),"سقف متحرک آلومینیومی",IF(AND(G14="ثابت"),"سقف ثابت آلومینیومی",0))</f>
        <v>سقف متحرک آلومینیومی</v>
      </c>
      <c r="P23" s="258"/>
      <c r="Q23" s="77" t="str">
        <f>F14</f>
        <v>Roof Level</v>
      </c>
      <c r="R23" s="233">
        <f>Q24*O24*N23/10000</f>
        <v>0</v>
      </c>
      <c r="S23" s="234"/>
      <c r="T23" s="221">
        <f>FLOOR(IF(AND(O19=F100),(IF(R23=0,0,(('S3'!F8)*((100-F22)/100)))),IF(AND(O19=F101),(IF(R23=0,0,(('S3'!F8)*((100-F22)/100)))),IF(AND(O19=F102),(IF(R23=0,0,(('S3'!F8)*((100-F22)/100)))),0)))*(1+(F21/100)),1000000)</f>
        <v>0</v>
      </c>
      <c r="U23" s="221">
        <f>FLOOR(T23*R23,100000)</f>
        <v>0</v>
      </c>
      <c r="V23" s="71"/>
      <c r="W23" s="72"/>
    </row>
    <row r="24" spans="1:23" ht="18.75" x14ac:dyDescent="0.25">
      <c r="A24" s="130"/>
      <c r="B24" s="130"/>
      <c r="C24" s="130"/>
      <c r="D24" s="130"/>
      <c r="E24" s="130"/>
      <c r="F24" s="130"/>
      <c r="G24" s="130"/>
      <c r="H24" s="130"/>
      <c r="I24" s="134"/>
      <c r="J24" s="239"/>
      <c r="K24" s="55"/>
      <c r="M24" s="232"/>
      <c r="N24" s="73" t="s">
        <v>129</v>
      </c>
      <c r="O24" s="246">
        <f>C14</f>
        <v>0</v>
      </c>
      <c r="P24" s="247"/>
      <c r="Q24" s="78">
        <f>D14</f>
        <v>0</v>
      </c>
      <c r="R24" s="235"/>
      <c r="S24" s="236"/>
      <c r="T24" s="222"/>
      <c r="U24" s="222"/>
      <c r="V24" s="71"/>
      <c r="W24" s="72"/>
    </row>
    <row r="25" spans="1:23" ht="18.75" x14ac:dyDescent="0.25">
      <c r="A25" s="130"/>
      <c r="B25" s="130"/>
      <c r="C25" s="130"/>
      <c r="D25" s="130"/>
      <c r="E25" s="130"/>
      <c r="F25" s="130"/>
      <c r="G25" s="130"/>
      <c r="H25" s="130"/>
      <c r="I25" s="134"/>
      <c r="J25" s="238">
        <v>4</v>
      </c>
      <c r="K25" s="55"/>
      <c r="M25" s="231">
        <f t="shared" ref="M25" si="1">J25</f>
        <v>4</v>
      </c>
      <c r="N25" s="76">
        <f>E15</f>
        <v>0</v>
      </c>
      <c r="O25" s="240" t="str">
        <f>IF(AND(G15="متحرک"),"سقف متحرک آلومینیومی",IF(AND(G15="ثابت"),"سقف ثابت آلومینیومی",0))</f>
        <v>سقف متحرک آلومینیومی</v>
      </c>
      <c r="P25" s="241"/>
      <c r="Q25" s="77" t="str">
        <f>F15</f>
        <v>Roof Level</v>
      </c>
      <c r="R25" s="233">
        <f>Q26*O26*N25/10000</f>
        <v>0</v>
      </c>
      <c r="S25" s="234"/>
      <c r="T25" s="221">
        <f>FLOOR(IF(AND(O19=F100),(IF(R25=0,0,(('S4'!F8)*((100-F22)/100)))),IF(AND(O19=F101),(IF(R25=0,0,(('S4'!F8)*((100-F22)/100)))),IF(AND(O19=F102),(IF(R25=0,0,(('S4'!F8)*((100-F22)/100)))),0)))*(1+(F21/100)),1000000)</f>
        <v>0</v>
      </c>
      <c r="U25" s="221">
        <f>FLOOR(T25*R25,100000)</f>
        <v>0</v>
      </c>
      <c r="V25" s="71"/>
      <c r="W25" s="72"/>
    </row>
    <row r="26" spans="1:23" ht="18.75" x14ac:dyDescent="0.25">
      <c r="A26" s="130"/>
      <c r="B26" s="130"/>
      <c r="C26" s="130"/>
      <c r="D26" s="130"/>
      <c r="E26" s="130"/>
      <c r="F26" s="130"/>
      <c r="G26" s="130"/>
      <c r="H26" s="130"/>
      <c r="I26" s="130"/>
      <c r="J26" s="239"/>
      <c r="K26" s="55"/>
      <c r="L26" t="s">
        <v>146</v>
      </c>
      <c r="M26" s="232"/>
      <c r="N26" s="73" t="s">
        <v>129</v>
      </c>
      <c r="O26" s="223">
        <f>C15</f>
        <v>0</v>
      </c>
      <c r="P26" s="224"/>
      <c r="Q26" s="78">
        <f>D15</f>
        <v>0</v>
      </c>
      <c r="R26" s="235"/>
      <c r="S26" s="236"/>
      <c r="T26" s="222"/>
      <c r="U26" s="222"/>
      <c r="V26" s="71"/>
      <c r="W26" s="72"/>
    </row>
    <row r="27" spans="1:23" ht="18.75" x14ac:dyDescent="0.25">
      <c r="A27" s="130"/>
      <c r="B27" s="130"/>
      <c r="C27" s="130"/>
      <c r="D27" s="130"/>
      <c r="E27" s="130"/>
      <c r="F27" s="130"/>
      <c r="G27" s="130"/>
      <c r="H27" s="130"/>
      <c r="I27" s="140"/>
      <c r="J27" s="238">
        <v>5</v>
      </c>
      <c r="K27" s="55"/>
      <c r="M27" s="231">
        <f t="shared" ref="M27" si="2">J27</f>
        <v>5</v>
      </c>
      <c r="N27" s="76">
        <f>E16</f>
        <v>0</v>
      </c>
      <c r="O27" s="240" t="str">
        <f>IF(AND(G16="متحرک"),"سقف متحرک آلومینیومی",IF(AND(G16="ثابت"),"سقف ثابت آلومینیومی",0))</f>
        <v>سقف متحرک آلومینیومی</v>
      </c>
      <c r="P27" s="241"/>
      <c r="Q27" s="77" t="str">
        <f>F16</f>
        <v>Roof Level</v>
      </c>
      <c r="R27" s="233">
        <f>Q28*O28*N27/10000</f>
        <v>0</v>
      </c>
      <c r="S27" s="234"/>
      <c r="T27" s="221">
        <f>FLOOR(IF(AND(O19=F100),(IF(R27=0,0,(('S5'!F8)*((100-F22)/100)))),IF(AND(O19=F101),(IF(R27=0,0,(('S5'!F8)*((100-F22)/100)))),IF(AND(O19=F102),(IF(R27=0,0,(('S5'!F8)*((100-F22)/100)))),0)))*(1+(F21/100)),1000000)</f>
        <v>0</v>
      </c>
      <c r="U27" s="221">
        <f>FLOOR(T27*R27,100000)</f>
        <v>0</v>
      </c>
      <c r="V27" s="71"/>
      <c r="W27" s="72"/>
    </row>
    <row r="28" spans="1:23" ht="18.75" x14ac:dyDescent="0.25">
      <c r="A28" s="130"/>
      <c r="B28" s="130"/>
      <c r="C28" s="130"/>
      <c r="D28" s="130"/>
      <c r="E28" s="130"/>
      <c r="F28" s="130"/>
      <c r="G28" s="130"/>
      <c r="H28" s="130"/>
      <c r="I28" s="130"/>
      <c r="J28" s="239"/>
      <c r="K28" s="55"/>
      <c r="M28" s="232"/>
      <c r="N28" s="73" t="s">
        <v>129</v>
      </c>
      <c r="O28" s="223">
        <f>C16</f>
        <v>0</v>
      </c>
      <c r="P28" s="224"/>
      <c r="Q28" s="78">
        <f>D16</f>
        <v>0</v>
      </c>
      <c r="R28" s="235"/>
      <c r="S28" s="236"/>
      <c r="T28" s="222"/>
      <c r="U28" s="222"/>
      <c r="V28" s="71"/>
      <c r="W28" s="72"/>
    </row>
    <row r="29" spans="1:23" ht="18.75" x14ac:dyDescent="0.25">
      <c r="A29" s="130"/>
      <c r="B29" s="130"/>
      <c r="C29" s="130"/>
      <c r="D29" s="130"/>
      <c r="E29" s="130"/>
      <c r="F29" s="130"/>
      <c r="G29" s="130"/>
      <c r="H29" s="130"/>
      <c r="I29" s="130"/>
      <c r="J29" s="242">
        <v>6</v>
      </c>
      <c r="K29" s="55"/>
      <c r="M29" s="231">
        <f>J29</f>
        <v>6</v>
      </c>
      <c r="N29" s="225" t="s">
        <v>147</v>
      </c>
      <c r="O29" s="226"/>
      <c r="P29" s="226"/>
      <c r="Q29" s="227"/>
      <c r="R29" s="233">
        <f>IF(H12="-----",0,SUM(R15:S28))</f>
        <v>0</v>
      </c>
      <c r="S29" s="234"/>
      <c r="T29" s="221">
        <f>FLOOR(IF(H12=H107,(C21+(H27/R29))*(1+(F21/100)),(C21*(1+(F21/100)))),100000)</f>
        <v>7800000</v>
      </c>
      <c r="U29" s="221">
        <f>FLOOR(T29*R29,100000)</f>
        <v>0</v>
      </c>
      <c r="V29" s="71"/>
      <c r="W29" s="72"/>
    </row>
    <row r="30" spans="1:23" ht="18.75" x14ac:dyDescent="0.25">
      <c r="A30" s="130"/>
      <c r="B30" s="130"/>
      <c r="C30" s="130"/>
      <c r="D30" s="130"/>
      <c r="E30" s="130"/>
      <c r="F30" s="130"/>
      <c r="G30" s="130"/>
      <c r="H30" s="130"/>
      <c r="I30" s="130"/>
      <c r="J30" s="242"/>
      <c r="K30" s="55"/>
      <c r="M30" s="232"/>
      <c r="N30" s="228" t="s">
        <v>148</v>
      </c>
      <c r="O30" s="229"/>
      <c r="P30" s="229"/>
      <c r="Q30" s="230"/>
      <c r="R30" s="235"/>
      <c r="S30" s="236"/>
      <c r="T30" s="222"/>
      <c r="U30" s="222"/>
      <c r="V30" s="71"/>
      <c r="W30" s="72"/>
    </row>
    <row r="31" spans="1:23" ht="18.75" x14ac:dyDescent="0.25">
      <c r="A31" s="130"/>
      <c r="B31" s="130"/>
      <c r="C31" s="130"/>
      <c r="D31" s="130"/>
      <c r="E31" s="130"/>
      <c r="F31" s="130"/>
      <c r="G31" s="130"/>
      <c r="H31" s="130"/>
      <c r="I31" s="130"/>
      <c r="J31" s="139">
        <v>7</v>
      </c>
      <c r="K31" s="55"/>
      <c r="M31" s="98">
        <f>J31</f>
        <v>7</v>
      </c>
      <c r="N31" s="243" t="str">
        <f>H12</f>
        <v>روشنایی لبه آبراه(خطی LED)</v>
      </c>
      <c r="O31" s="244"/>
      <c r="P31" s="244"/>
      <c r="Q31" s="245"/>
      <c r="R31" s="80">
        <f>IF(AND(H12="روشنایی پانل ها (خطی LED)"),E94,IF(AND(H12="روشنایی لبه آبراه(خطی LED)"),E95,IF(AND(H12="روشنایی پانل ها و لبه آبراه(خطی LED)"),E96,0)))</f>
        <v>0</v>
      </c>
      <c r="S31" s="99" t="s">
        <v>4</v>
      </c>
      <c r="T31" s="79">
        <f>C22</f>
        <v>1240000</v>
      </c>
      <c r="U31" s="79">
        <f>FLOOR(T31*R31,100000)</f>
        <v>0</v>
      </c>
      <c r="V31" s="71"/>
      <c r="W31" s="72"/>
    </row>
    <row r="32" spans="1:23" ht="18.75" x14ac:dyDescent="0.25">
      <c r="A32" s="130"/>
      <c r="B32" s="130"/>
      <c r="C32" s="130"/>
      <c r="D32" s="130"/>
      <c r="E32" s="130"/>
      <c r="F32" s="130"/>
      <c r="G32" s="130"/>
      <c r="H32" s="130"/>
      <c r="I32" s="130"/>
      <c r="J32" s="139">
        <v>8</v>
      </c>
      <c r="K32" s="55"/>
      <c r="M32" s="98">
        <f t="shared" ref="M32:M34" si="3">J32</f>
        <v>8</v>
      </c>
      <c r="N32" s="237" t="str">
        <f>IF(AND(H19="تهران"),"نصب در تهران 8 درصد",IF(AND(H19="مشهد"),"نصب در مشهد 8 درصد",IF(AND(H19="شهرستان"),"نصب در شهرستان 10 درصد","---------")))</f>
        <v>نصب در تهران 8 درصد</v>
      </c>
      <c r="O32" s="217"/>
      <c r="P32" s="217"/>
      <c r="Q32" s="217"/>
      <c r="R32" s="217"/>
      <c r="S32" s="217"/>
      <c r="T32" s="218"/>
      <c r="U32" s="81">
        <f>FLOOR(IF(AND(H19="تهران"),T1*(H21/100),IF(AND(H19="مشهد"),T1*(H21/100),IF(AND(H19="شهرستان"),T1*(H22/100),0))),100000)</f>
        <v>0</v>
      </c>
      <c r="V32" s="71"/>
      <c r="W32" s="72"/>
    </row>
    <row r="33" spans="1:23" ht="18.75" x14ac:dyDescent="0.25">
      <c r="A33" s="130"/>
      <c r="B33" s="130"/>
      <c r="C33" s="130"/>
      <c r="D33" s="130"/>
      <c r="E33" s="130"/>
      <c r="F33" s="130"/>
      <c r="G33" s="130"/>
      <c r="H33" s="130"/>
      <c r="I33" s="130"/>
      <c r="J33" s="139">
        <v>9</v>
      </c>
      <c r="K33" s="55"/>
      <c r="M33" s="98">
        <f t="shared" si="3"/>
        <v>9</v>
      </c>
      <c r="N33" s="84"/>
      <c r="O33" s="85"/>
      <c r="P33" s="86"/>
      <c r="Q33" s="86"/>
      <c r="R33" s="87">
        <f>IF(E18="مبلغ",0,E20)</f>
        <v>0</v>
      </c>
      <c r="S33" s="217" t="str">
        <f>E17</f>
        <v>-----</v>
      </c>
      <c r="T33" s="218"/>
      <c r="U33" s="88">
        <f>IF(E18="مبلغ",E19,SUM(U15:U32)*(E20/100))</f>
        <v>0</v>
      </c>
      <c r="V33" s="71"/>
      <c r="W33" s="72"/>
    </row>
    <row r="34" spans="1:23" ht="18.75" x14ac:dyDescent="0.25">
      <c r="A34" s="130"/>
      <c r="B34" s="130"/>
      <c r="C34" s="130"/>
      <c r="D34" s="130"/>
      <c r="E34" s="130"/>
      <c r="F34" s="130"/>
      <c r="G34" s="130"/>
      <c r="H34" s="130"/>
      <c r="I34" s="130"/>
      <c r="J34" s="139">
        <v>10</v>
      </c>
      <c r="K34" s="55"/>
      <c r="M34" s="64">
        <f t="shared" si="3"/>
        <v>10</v>
      </c>
      <c r="N34" s="90"/>
      <c r="O34" s="90"/>
      <c r="P34" s="91"/>
      <c r="Q34" s="91"/>
      <c r="R34" s="219" t="s">
        <v>152</v>
      </c>
      <c r="S34" s="219"/>
      <c r="T34" s="220"/>
      <c r="U34" s="79">
        <f>FLOOR((SUM(U15:U32)-U33),100000)</f>
        <v>0</v>
      </c>
      <c r="W34" s="72"/>
    </row>
    <row r="35" spans="1:23" ht="18.75" x14ac:dyDescent="0.25">
      <c r="A35" s="130"/>
      <c r="B35" s="130"/>
      <c r="C35" s="130"/>
      <c r="D35" s="130"/>
      <c r="E35" s="130"/>
      <c r="F35" s="130"/>
      <c r="G35" s="130"/>
      <c r="H35" s="130"/>
      <c r="I35" s="130"/>
      <c r="J35" s="130"/>
      <c r="K35" s="55"/>
      <c r="W35" s="72"/>
    </row>
    <row r="36" spans="1:23" ht="18.75" x14ac:dyDescent="0.25">
      <c r="A36" s="130"/>
      <c r="B36" s="130"/>
      <c r="C36" s="130"/>
      <c r="D36" s="130"/>
      <c r="E36" s="130"/>
      <c r="F36" s="130"/>
      <c r="G36" s="130"/>
      <c r="H36" s="130"/>
      <c r="I36" s="130"/>
      <c r="J36" s="130"/>
      <c r="K36" s="55"/>
      <c r="W36" s="72"/>
    </row>
    <row r="37" spans="1:23" ht="18.75" x14ac:dyDescent="0.25">
      <c r="A37" s="130"/>
      <c r="B37" s="130"/>
      <c r="C37" s="130"/>
      <c r="D37" s="130"/>
      <c r="E37" s="130"/>
      <c r="F37" s="130"/>
      <c r="G37" s="130"/>
      <c r="H37" s="130"/>
      <c r="I37" s="130"/>
      <c r="J37" s="130"/>
      <c r="K37" s="55"/>
      <c r="V37" s="82"/>
      <c r="W37" s="83"/>
    </row>
    <row r="38" spans="1:23" ht="18" x14ac:dyDescent="0.25">
      <c r="A38" s="130"/>
      <c r="B38" s="130"/>
      <c r="C38" s="130"/>
      <c r="D38" s="130"/>
      <c r="E38" s="130"/>
      <c r="F38" s="130"/>
      <c r="G38" s="130"/>
      <c r="H38" s="130"/>
      <c r="I38" s="130"/>
      <c r="J38" s="130"/>
      <c r="K38" s="55"/>
      <c r="V38" s="71"/>
      <c r="W38" s="89"/>
    </row>
    <row r="39" spans="1:23" ht="17.25" x14ac:dyDescent="0.25">
      <c r="A39" s="130"/>
      <c r="B39" s="130"/>
      <c r="C39" s="130"/>
      <c r="D39" s="130"/>
      <c r="E39" s="130"/>
      <c r="F39" s="130"/>
      <c r="G39" s="130"/>
      <c r="H39" s="130"/>
      <c r="I39" s="130"/>
      <c r="J39" s="130"/>
      <c r="W39" s="92"/>
    </row>
    <row r="40" spans="1:23" ht="17.25" x14ac:dyDescent="0.25">
      <c r="A40" s="130"/>
      <c r="B40" s="130"/>
      <c r="C40" s="130"/>
      <c r="D40" s="130"/>
      <c r="E40" s="130"/>
      <c r="F40" s="130"/>
      <c r="G40" s="130"/>
      <c r="H40" s="130"/>
      <c r="I40" s="130"/>
      <c r="J40" s="130"/>
      <c r="W40" s="92"/>
    </row>
    <row r="41" spans="1:23" ht="18" x14ac:dyDescent="0.25">
      <c r="A41" s="130"/>
      <c r="B41" s="130"/>
      <c r="C41" s="130"/>
      <c r="D41" s="130"/>
      <c r="E41" s="130"/>
      <c r="F41" s="130"/>
      <c r="G41" s="130"/>
      <c r="H41" s="130"/>
      <c r="I41" s="130"/>
      <c r="J41" s="130"/>
      <c r="N41" s="53" t="s">
        <v>153</v>
      </c>
      <c r="O41" s="214">
        <f>G7</f>
        <v>0</v>
      </c>
      <c r="P41" s="214"/>
      <c r="W41" s="92"/>
    </row>
    <row r="42" spans="1:23" ht="17.25" x14ac:dyDescent="0.25">
      <c r="A42" s="130"/>
      <c r="B42" s="130"/>
      <c r="C42" s="130"/>
      <c r="D42" s="130"/>
      <c r="E42" s="130"/>
      <c r="F42" s="130"/>
      <c r="G42" s="130"/>
      <c r="H42" s="130"/>
      <c r="I42" s="130"/>
      <c r="J42" s="130"/>
      <c r="W42" s="92"/>
    </row>
    <row r="43" spans="1:23" ht="17.25" x14ac:dyDescent="0.25">
      <c r="A43" s="130"/>
      <c r="B43" s="130"/>
      <c r="C43" s="130"/>
      <c r="D43" s="130"/>
      <c r="E43" s="130"/>
      <c r="F43" s="130"/>
      <c r="G43" s="130"/>
      <c r="H43" s="130"/>
      <c r="I43" s="130"/>
      <c r="J43" s="130"/>
      <c r="W43" s="92"/>
    </row>
    <row r="44" spans="1:23" ht="17.25" x14ac:dyDescent="0.25">
      <c r="A44" s="130"/>
      <c r="B44" s="130"/>
      <c r="C44" s="130"/>
      <c r="D44" s="130"/>
      <c r="E44" s="130"/>
      <c r="F44" s="130"/>
      <c r="G44" s="130"/>
      <c r="H44" s="130"/>
      <c r="I44" s="130"/>
      <c r="J44" s="130"/>
      <c r="W44" s="92"/>
    </row>
    <row r="45" spans="1:23" ht="17.25" x14ac:dyDescent="0.25">
      <c r="A45" s="130"/>
      <c r="B45" s="130"/>
      <c r="C45" s="130"/>
      <c r="D45" s="130"/>
      <c r="E45" s="130"/>
      <c r="F45" s="130"/>
      <c r="G45" s="130"/>
      <c r="H45" s="130"/>
      <c r="I45" s="130"/>
      <c r="J45" s="130"/>
      <c r="W45" s="92"/>
    </row>
    <row r="46" spans="1:23" ht="17.25" x14ac:dyDescent="0.25">
      <c r="A46" s="130"/>
      <c r="B46" s="130"/>
      <c r="C46" s="130"/>
      <c r="D46" s="130"/>
      <c r="E46" s="130"/>
      <c r="F46" s="130"/>
      <c r="G46" s="130"/>
      <c r="H46" s="130"/>
      <c r="I46" s="130"/>
      <c r="J46" s="130"/>
      <c r="W46" s="92"/>
    </row>
    <row r="47" spans="1:23" ht="17.25" x14ac:dyDescent="0.25">
      <c r="A47" s="130"/>
      <c r="B47" s="130"/>
      <c r="C47" s="130"/>
      <c r="D47" s="130"/>
      <c r="E47" s="130"/>
      <c r="F47" s="130"/>
      <c r="G47" s="130"/>
      <c r="H47" s="130"/>
      <c r="I47" s="130"/>
      <c r="J47" s="130"/>
      <c r="W47" s="92"/>
    </row>
    <row r="48" spans="1:23" ht="17.25" x14ac:dyDescent="0.25">
      <c r="A48" s="130"/>
      <c r="B48" s="130"/>
      <c r="C48" s="130"/>
      <c r="D48" s="130"/>
      <c r="E48" s="130"/>
      <c r="F48" s="130"/>
      <c r="G48" s="130"/>
      <c r="H48" s="130"/>
      <c r="I48" s="130"/>
      <c r="J48" s="130"/>
      <c r="W48" s="92"/>
    </row>
    <row r="49" spans="1:23" ht="17.25" x14ac:dyDescent="0.25">
      <c r="A49" s="130"/>
      <c r="B49" s="130"/>
      <c r="C49" s="130"/>
      <c r="D49" s="130"/>
      <c r="E49" s="130"/>
      <c r="F49" s="130"/>
      <c r="G49" s="130"/>
      <c r="H49" s="130"/>
      <c r="I49" s="130"/>
      <c r="J49" s="130"/>
      <c r="W49" s="92"/>
    </row>
    <row r="50" spans="1:23" x14ac:dyDescent="0.25">
      <c r="A50" s="130"/>
      <c r="B50" s="130"/>
      <c r="C50" s="130"/>
      <c r="D50" s="130"/>
      <c r="E50" s="130"/>
      <c r="F50" s="130"/>
      <c r="G50" s="130"/>
      <c r="H50" s="130"/>
      <c r="I50" s="130"/>
      <c r="J50" s="130"/>
    </row>
    <row r="51" spans="1:23" ht="48" customHeight="1" x14ac:dyDescent="0.25">
      <c r="A51" s="130"/>
      <c r="B51" s="130"/>
      <c r="C51" s="130"/>
      <c r="D51" s="130"/>
      <c r="E51" s="130"/>
      <c r="F51" s="130"/>
      <c r="G51" s="130"/>
      <c r="H51" s="130"/>
      <c r="I51" s="130"/>
      <c r="J51" s="130"/>
    </row>
    <row r="52" spans="1:23" x14ac:dyDescent="0.25">
      <c r="A52" s="130"/>
      <c r="B52" s="130"/>
      <c r="C52" s="130"/>
      <c r="D52" s="130"/>
      <c r="E52" s="130"/>
      <c r="F52" s="130"/>
      <c r="G52" s="130"/>
      <c r="H52" s="130"/>
      <c r="I52" s="130"/>
      <c r="J52" s="130"/>
    </row>
    <row r="53" spans="1:23" x14ac:dyDescent="0.25">
      <c r="A53" s="130"/>
      <c r="B53" s="130"/>
      <c r="C53" s="130"/>
      <c r="D53" s="130"/>
      <c r="E53" s="130"/>
      <c r="F53" s="130"/>
      <c r="G53" s="130"/>
      <c r="H53" s="130"/>
      <c r="I53" s="130"/>
      <c r="J53" s="130"/>
    </row>
    <row r="54" spans="1:23" x14ac:dyDescent="0.25">
      <c r="A54" s="130"/>
      <c r="B54" s="130"/>
      <c r="C54" s="130"/>
      <c r="D54" s="130"/>
      <c r="E54" s="130"/>
      <c r="F54" s="130"/>
      <c r="G54" s="130"/>
      <c r="H54" s="130"/>
      <c r="I54" s="130"/>
      <c r="J54" s="130"/>
    </row>
    <row r="55" spans="1:23" x14ac:dyDescent="0.25">
      <c r="A55" s="130"/>
      <c r="B55" s="130"/>
      <c r="C55" s="130"/>
      <c r="D55" s="130"/>
      <c r="E55" s="130"/>
      <c r="F55" s="130"/>
      <c r="G55" s="130"/>
      <c r="H55" s="130"/>
      <c r="I55" s="130"/>
      <c r="J55" s="130"/>
    </row>
    <row r="56" spans="1:23" x14ac:dyDescent="0.25">
      <c r="A56" s="130"/>
      <c r="B56" s="130"/>
      <c r="C56" s="130"/>
      <c r="D56" s="130"/>
      <c r="E56" s="130"/>
      <c r="F56" s="130"/>
      <c r="G56" s="130"/>
      <c r="H56" s="130"/>
      <c r="I56" s="130"/>
      <c r="J56" s="130"/>
    </row>
    <row r="57" spans="1:23" x14ac:dyDescent="0.25">
      <c r="A57" s="130"/>
      <c r="B57" s="130"/>
      <c r="C57" s="130"/>
      <c r="D57" s="130"/>
      <c r="E57" s="130"/>
      <c r="F57" s="130"/>
      <c r="G57" s="130"/>
      <c r="H57" s="130"/>
      <c r="I57" s="130"/>
      <c r="J57" s="130"/>
    </row>
    <row r="58" spans="1:23" x14ac:dyDescent="0.25">
      <c r="A58" s="130"/>
      <c r="B58" s="130"/>
      <c r="C58" s="130"/>
      <c r="D58" s="130"/>
      <c r="E58" s="130"/>
      <c r="F58" s="130"/>
      <c r="G58" s="130"/>
      <c r="H58" s="130"/>
      <c r="I58" s="130"/>
      <c r="J58" s="130"/>
    </row>
    <row r="59" spans="1:23" x14ac:dyDescent="0.25">
      <c r="A59" s="130"/>
      <c r="B59" s="130"/>
      <c r="C59" s="130"/>
      <c r="D59" s="130"/>
      <c r="E59" s="130"/>
      <c r="F59" s="130"/>
      <c r="G59" s="130"/>
      <c r="H59" s="130"/>
      <c r="I59" s="130"/>
      <c r="J59" s="130"/>
    </row>
    <row r="60" spans="1:23" ht="18.75" x14ac:dyDescent="0.25">
      <c r="A60" s="130"/>
      <c r="B60" s="130"/>
      <c r="C60" s="130"/>
      <c r="D60" s="130"/>
      <c r="E60" s="130"/>
      <c r="F60" s="130"/>
      <c r="G60" s="130"/>
      <c r="H60" s="130"/>
      <c r="I60" s="130"/>
      <c r="J60" s="130"/>
      <c r="S60" s="51" t="s">
        <v>95</v>
      </c>
      <c r="T60" s="215">
        <f>G3</f>
        <v>0</v>
      </c>
      <c r="U60" s="215"/>
      <c r="V60" s="53"/>
    </row>
    <row r="61" spans="1:23" ht="18.75" x14ac:dyDescent="0.25">
      <c r="A61" s="130"/>
      <c r="B61" s="130"/>
      <c r="C61" s="130"/>
      <c r="D61" s="130"/>
      <c r="E61" s="130"/>
      <c r="F61" s="130"/>
      <c r="G61" s="130"/>
      <c r="H61" s="130"/>
      <c r="I61" s="130"/>
      <c r="J61" s="130"/>
      <c r="S61" s="51" t="s">
        <v>97</v>
      </c>
      <c r="T61" s="216" t="str">
        <f>G4</f>
        <v>1403/01/20</v>
      </c>
      <c r="U61" s="216"/>
      <c r="V61" s="51"/>
    </row>
    <row r="62" spans="1:23" ht="18.75" x14ac:dyDescent="0.25">
      <c r="A62" s="130"/>
      <c r="B62" s="130"/>
      <c r="C62" s="130"/>
      <c r="D62" s="130"/>
      <c r="E62" s="130"/>
      <c r="F62" s="130"/>
      <c r="G62" s="130"/>
      <c r="H62" s="130"/>
      <c r="I62" s="130"/>
      <c r="J62" s="130"/>
      <c r="S62" s="51" t="s">
        <v>100</v>
      </c>
      <c r="T62" s="216" t="str">
        <f>G5</f>
        <v>ندارد</v>
      </c>
      <c r="U62" s="216"/>
      <c r="V62" s="51"/>
    </row>
    <row r="63" spans="1:23" x14ac:dyDescent="0.25">
      <c r="A63" s="130"/>
      <c r="B63" s="130"/>
      <c r="C63" s="130"/>
      <c r="D63" s="130"/>
      <c r="E63" s="130"/>
      <c r="F63" s="130"/>
      <c r="G63" s="130"/>
      <c r="H63" s="130"/>
      <c r="I63" s="130"/>
      <c r="J63" s="130"/>
    </row>
    <row r="64" spans="1:23" ht="17.25" x14ac:dyDescent="0.25">
      <c r="A64" s="130"/>
      <c r="B64" s="130"/>
      <c r="C64" s="130"/>
      <c r="D64" s="130"/>
      <c r="E64" s="130"/>
      <c r="F64" s="130"/>
      <c r="G64" s="130"/>
      <c r="H64" s="130"/>
      <c r="I64" s="130"/>
      <c r="J64" s="130"/>
      <c r="M64" s="213" t="s">
        <v>154</v>
      </c>
      <c r="N64" s="213"/>
      <c r="O64" s="213"/>
      <c r="P64" s="213"/>
      <c r="Q64" s="213"/>
      <c r="R64" s="213"/>
      <c r="S64" s="213"/>
      <c r="T64" s="213"/>
      <c r="U64" s="213"/>
      <c r="V64" s="92"/>
    </row>
    <row r="65" spans="1:22" ht="19.5" x14ac:dyDescent="0.25">
      <c r="A65" s="130"/>
      <c r="B65" s="130"/>
      <c r="C65" s="130"/>
      <c r="D65" s="130"/>
      <c r="E65" s="130"/>
      <c r="F65" s="130"/>
      <c r="G65" s="130"/>
      <c r="H65" s="130"/>
      <c r="I65" s="130"/>
      <c r="J65" s="130"/>
      <c r="M65" s="213" t="s">
        <v>155</v>
      </c>
      <c r="N65" s="213"/>
      <c r="O65" s="213"/>
      <c r="P65" s="93">
        <f>H20</f>
        <v>65</v>
      </c>
      <c r="Q65" s="213" t="s">
        <v>156</v>
      </c>
      <c r="R65" s="213"/>
      <c r="S65" s="213"/>
      <c r="T65" s="94"/>
      <c r="U65" s="94"/>
      <c r="V65" s="92"/>
    </row>
    <row r="66" spans="1:22" ht="17.25" x14ac:dyDescent="0.25">
      <c r="A66" s="130"/>
      <c r="B66" s="130"/>
      <c r="C66" s="130"/>
      <c r="D66" s="130"/>
      <c r="E66" s="130"/>
      <c r="F66" s="130"/>
      <c r="G66" s="130"/>
      <c r="H66" s="130"/>
      <c r="I66" s="130"/>
      <c r="J66" s="130"/>
      <c r="M66" s="212" t="s">
        <v>157</v>
      </c>
      <c r="N66" s="212"/>
      <c r="O66" s="212"/>
      <c r="P66" s="212"/>
      <c r="Q66" s="212"/>
      <c r="R66" s="212"/>
      <c r="S66" s="212"/>
      <c r="T66" s="212"/>
      <c r="U66" s="212"/>
      <c r="V66" s="95"/>
    </row>
    <row r="67" spans="1:22" ht="17.25" x14ac:dyDescent="0.25">
      <c r="A67" s="130"/>
      <c r="B67" s="130"/>
      <c r="C67" s="130"/>
      <c r="D67" s="130"/>
      <c r="E67" s="130"/>
      <c r="F67" s="130"/>
      <c r="G67" s="130"/>
      <c r="H67" s="130"/>
      <c r="I67" s="130"/>
      <c r="J67" s="130"/>
      <c r="M67" s="213" t="s">
        <v>158</v>
      </c>
      <c r="N67" s="213"/>
      <c r="O67" s="213"/>
      <c r="P67" s="213"/>
      <c r="Q67" s="213"/>
      <c r="R67" s="213"/>
      <c r="S67" s="213"/>
      <c r="T67" s="213"/>
      <c r="U67" s="213"/>
      <c r="V67" s="92"/>
    </row>
    <row r="68" spans="1:22" ht="17.25" x14ac:dyDescent="0.25">
      <c r="A68" s="130"/>
      <c r="B68" s="130"/>
      <c r="C68" s="130"/>
      <c r="D68" s="130"/>
      <c r="E68" s="130"/>
      <c r="F68" s="130"/>
      <c r="G68" s="130"/>
      <c r="H68" s="130"/>
      <c r="I68" s="130"/>
      <c r="J68" s="130"/>
      <c r="M68" s="213" t="s">
        <v>159</v>
      </c>
      <c r="N68" s="213"/>
      <c r="O68" s="213"/>
      <c r="P68" s="213"/>
      <c r="Q68" s="213"/>
      <c r="R68" s="213"/>
      <c r="S68" s="213"/>
      <c r="T68" s="213"/>
      <c r="U68" s="213"/>
      <c r="V68" s="92"/>
    </row>
    <row r="69" spans="1:22" ht="17.25" x14ac:dyDescent="0.25">
      <c r="A69" s="130"/>
      <c r="B69" s="130"/>
      <c r="C69" s="130"/>
      <c r="D69" s="130"/>
      <c r="E69" s="130"/>
      <c r="F69" s="130"/>
      <c r="G69" s="130"/>
      <c r="H69" s="130"/>
      <c r="I69" s="130"/>
      <c r="J69" s="130"/>
      <c r="M69" s="213" t="s">
        <v>160</v>
      </c>
      <c r="N69" s="213"/>
      <c r="O69" s="213"/>
      <c r="P69" s="213"/>
      <c r="Q69" s="213"/>
      <c r="R69" s="213"/>
      <c r="S69" s="213"/>
      <c r="T69" s="213"/>
      <c r="U69" s="213"/>
      <c r="V69" s="92"/>
    </row>
    <row r="70" spans="1:22" ht="17.25" x14ac:dyDescent="0.25">
      <c r="A70" s="130"/>
      <c r="B70" s="130"/>
      <c r="C70" s="130"/>
      <c r="D70" s="130"/>
      <c r="E70" s="130"/>
      <c r="F70" s="130"/>
      <c r="G70" s="130"/>
      <c r="H70" s="130"/>
      <c r="I70" s="130"/>
      <c r="J70" s="130"/>
      <c r="M70" s="213" t="s">
        <v>161</v>
      </c>
      <c r="N70" s="213"/>
      <c r="O70" s="213"/>
      <c r="P70" s="213"/>
      <c r="Q70" s="213"/>
      <c r="R70" s="213"/>
      <c r="S70" s="213"/>
      <c r="T70" s="213"/>
      <c r="U70" s="213"/>
      <c r="V70" s="92"/>
    </row>
    <row r="71" spans="1:22" ht="17.25" x14ac:dyDescent="0.25">
      <c r="A71" s="130"/>
      <c r="B71" s="130"/>
      <c r="C71" s="130"/>
      <c r="D71" s="130"/>
      <c r="E71" s="130"/>
      <c r="F71" s="130"/>
      <c r="G71" s="130"/>
      <c r="H71" s="130"/>
      <c r="I71" s="130"/>
      <c r="J71" s="130"/>
      <c r="M71" s="213" t="s">
        <v>222</v>
      </c>
      <c r="N71" s="213"/>
      <c r="O71" s="213"/>
      <c r="P71" s="213"/>
      <c r="Q71" s="213"/>
      <c r="R71" s="213"/>
      <c r="S71" s="213"/>
      <c r="T71" s="213"/>
      <c r="U71" s="213"/>
      <c r="V71" s="92"/>
    </row>
    <row r="72" spans="1:22" ht="17.25" x14ac:dyDescent="0.25">
      <c r="A72" s="130"/>
      <c r="B72" s="130"/>
      <c r="C72" s="130"/>
      <c r="D72" s="130"/>
      <c r="E72" s="130"/>
      <c r="F72" s="130"/>
      <c r="G72" s="130"/>
      <c r="H72" s="130"/>
      <c r="I72" s="130"/>
      <c r="J72" s="130"/>
      <c r="M72" s="213"/>
      <c r="N72" s="213"/>
      <c r="O72" s="213"/>
      <c r="P72" s="213"/>
      <c r="Q72" s="213"/>
      <c r="R72" s="213"/>
      <c r="S72" s="213"/>
      <c r="T72" s="213"/>
      <c r="U72" s="213"/>
      <c r="V72" s="92"/>
    </row>
    <row r="73" spans="1:22" ht="17.25" x14ac:dyDescent="0.25">
      <c r="A73" s="130"/>
      <c r="B73" s="130"/>
      <c r="C73" s="130"/>
      <c r="D73" s="130"/>
      <c r="E73" s="130"/>
      <c r="F73" s="130"/>
      <c r="G73" s="130"/>
      <c r="H73" s="130"/>
      <c r="I73" s="130"/>
      <c r="J73" s="130"/>
      <c r="M73" s="212" t="s">
        <v>223</v>
      </c>
      <c r="N73" s="212"/>
      <c r="O73" s="212"/>
      <c r="P73" s="212"/>
      <c r="Q73" s="212"/>
      <c r="R73" s="212"/>
      <c r="S73" s="212"/>
      <c r="T73" s="212"/>
      <c r="U73" s="212"/>
      <c r="V73" s="95"/>
    </row>
    <row r="74" spans="1:22" ht="17.25" x14ac:dyDescent="0.25">
      <c r="A74" s="130"/>
      <c r="B74" s="130"/>
      <c r="C74" s="130"/>
      <c r="D74" s="130"/>
      <c r="E74" s="130"/>
      <c r="F74" s="130"/>
      <c r="G74" s="130"/>
      <c r="H74" s="130"/>
      <c r="I74" s="130"/>
      <c r="J74" s="130"/>
      <c r="M74" s="212" t="s">
        <v>162</v>
      </c>
      <c r="N74" s="212"/>
      <c r="O74" s="212"/>
      <c r="P74" s="212"/>
      <c r="Q74" s="212"/>
      <c r="R74" s="212"/>
      <c r="S74" s="212"/>
      <c r="T74" s="212"/>
      <c r="U74" s="212"/>
      <c r="V74" s="95"/>
    </row>
    <row r="75" spans="1:22" ht="18" x14ac:dyDescent="0.45">
      <c r="A75" s="130"/>
      <c r="B75" s="130"/>
      <c r="C75" s="130"/>
      <c r="D75" s="130"/>
      <c r="E75" s="130"/>
      <c r="F75" s="130"/>
      <c r="G75" s="130"/>
      <c r="H75" s="130"/>
      <c r="I75" s="130"/>
      <c r="J75" s="130"/>
      <c r="M75" s="209" t="s">
        <v>163</v>
      </c>
      <c r="N75" s="209"/>
      <c r="O75" s="209"/>
      <c r="P75" s="209"/>
      <c r="Q75" s="209"/>
      <c r="R75" s="209"/>
      <c r="S75" s="209"/>
      <c r="T75" s="209"/>
      <c r="U75" s="209"/>
      <c r="V75" s="96"/>
    </row>
    <row r="76" spans="1:22" ht="17.25" x14ac:dyDescent="0.25">
      <c r="A76" s="130"/>
      <c r="B76" s="130"/>
      <c r="C76" s="130"/>
      <c r="D76" s="130"/>
      <c r="E76" s="130"/>
      <c r="F76" s="130"/>
      <c r="G76" s="130"/>
      <c r="H76" s="130"/>
      <c r="I76" s="130"/>
      <c r="J76" s="130"/>
      <c r="M76" s="95"/>
      <c r="N76" s="95"/>
      <c r="O76" s="95"/>
      <c r="P76" s="95"/>
      <c r="Q76" s="95"/>
      <c r="R76" s="95"/>
      <c r="S76" s="95"/>
      <c r="T76" s="95"/>
      <c r="U76" s="95"/>
      <c r="V76" s="95"/>
    </row>
    <row r="77" spans="1:22" ht="17.25" x14ac:dyDescent="0.25">
      <c r="A77" s="130"/>
      <c r="B77" s="130"/>
      <c r="C77" s="130"/>
      <c r="D77" s="130"/>
      <c r="E77" s="130"/>
      <c r="F77" s="130"/>
      <c r="G77" s="130"/>
      <c r="H77" s="130"/>
      <c r="I77" s="130"/>
      <c r="J77" s="130"/>
      <c r="M77" s="95"/>
      <c r="N77" s="95"/>
      <c r="O77" s="95"/>
      <c r="P77" s="95"/>
      <c r="Q77" s="95"/>
      <c r="R77" s="95"/>
      <c r="S77" s="95"/>
      <c r="T77" s="95"/>
      <c r="U77" s="95"/>
      <c r="V77" s="95"/>
    </row>
    <row r="78" spans="1:22" ht="17.25" x14ac:dyDescent="0.25">
      <c r="A78" s="130"/>
      <c r="B78" s="130"/>
      <c r="C78" s="130"/>
      <c r="D78" s="130"/>
      <c r="E78" s="130"/>
      <c r="F78" s="130"/>
      <c r="G78" s="130"/>
      <c r="H78" s="130"/>
      <c r="I78" s="130"/>
      <c r="J78" s="130"/>
      <c r="M78" s="95"/>
      <c r="N78" s="95"/>
      <c r="O78" s="95"/>
      <c r="P78" s="95"/>
      <c r="Q78" s="95"/>
      <c r="R78" s="95"/>
      <c r="S78" s="95"/>
      <c r="T78" s="95"/>
      <c r="U78" s="95"/>
      <c r="V78" s="95"/>
    </row>
    <row r="79" spans="1:22" ht="17.25" x14ac:dyDescent="0.25">
      <c r="A79" s="130"/>
      <c r="B79" s="130"/>
      <c r="C79" s="130"/>
      <c r="D79" s="130"/>
      <c r="E79" s="130"/>
      <c r="F79" s="130"/>
      <c r="G79" s="130"/>
      <c r="H79" s="130"/>
      <c r="I79" s="130"/>
      <c r="J79" s="130"/>
      <c r="M79" s="95"/>
      <c r="N79" s="95"/>
      <c r="O79" s="95"/>
      <c r="P79" s="95"/>
      <c r="Q79" s="95"/>
      <c r="R79" s="95"/>
      <c r="S79" s="95"/>
      <c r="T79" s="95"/>
      <c r="U79" s="95"/>
      <c r="V79" s="95"/>
    </row>
    <row r="80" spans="1:22" x14ac:dyDescent="0.25">
      <c r="A80" s="130"/>
      <c r="B80" s="130"/>
      <c r="C80" s="130"/>
      <c r="D80" s="130"/>
      <c r="E80" s="130"/>
      <c r="F80" s="130"/>
      <c r="G80" s="130"/>
      <c r="H80" s="130"/>
      <c r="I80" s="130"/>
      <c r="J80" s="130"/>
    </row>
    <row r="81" spans="1:10" x14ac:dyDescent="0.25">
      <c r="A81" s="130"/>
      <c r="B81" s="130"/>
      <c r="C81" s="130"/>
      <c r="D81" s="130"/>
      <c r="E81" s="130"/>
      <c r="F81" s="130"/>
      <c r="G81" s="130"/>
      <c r="H81" s="130"/>
      <c r="I81" s="130"/>
      <c r="J81" s="130"/>
    </row>
    <row r="82" spans="1:10" x14ac:dyDescent="0.25">
      <c r="A82" s="130"/>
      <c r="B82" s="130"/>
      <c r="C82" s="130"/>
      <c r="D82" s="130"/>
      <c r="E82" s="130"/>
      <c r="F82" s="130"/>
      <c r="G82" s="130"/>
      <c r="H82" s="130"/>
      <c r="I82" s="130"/>
      <c r="J82" s="130"/>
    </row>
    <row r="83" spans="1:10" x14ac:dyDescent="0.25">
      <c r="A83" s="130"/>
      <c r="B83" s="130"/>
      <c r="C83" s="130"/>
      <c r="D83" s="130"/>
      <c r="E83" s="130"/>
      <c r="F83" s="130"/>
      <c r="G83" s="130"/>
      <c r="H83" s="130"/>
      <c r="I83" s="130"/>
      <c r="J83" s="130"/>
    </row>
    <row r="84" spans="1:10" x14ac:dyDescent="0.25">
      <c r="A84" s="130"/>
      <c r="B84" s="130"/>
      <c r="C84" s="130"/>
      <c r="D84" s="130"/>
      <c r="E84" s="130"/>
      <c r="F84" s="130"/>
      <c r="G84" s="130"/>
      <c r="H84" s="130"/>
      <c r="I84" s="130"/>
      <c r="J84" s="130"/>
    </row>
    <row r="85" spans="1:10" x14ac:dyDescent="0.25">
      <c r="A85" s="130"/>
      <c r="B85" s="130"/>
      <c r="C85" s="130"/>
      <c r="D85" s="130"/>
      <c r="E85" s="130"/>
      <c r="F85" s="130"/>
      <c r="G85" s="130"/>
      <c r="H85" s="130"/>
      <c r="I85" s="130"/>
      <c r="J85" s="130"/>
    </row>
    <row r="86" spans="1:10" x14ac:dyDescent="0.25">
      <c r="A86" s="130"/>
      <c r="B86" s="130"/>
      <c r="C86" s="130"/>
      <c r="D86" s="130"/>
      <c r="E86" s="130"/>
      <c r="F86" s="130"/>
      <c r="G86" s="130"/>
      <c r="H86" s="130"/>
      <c r="I86" s="130"/>
      <c r="J86" s="130"/>
    </row>
    <row r="87" spans="1:10" x14ac:dyDescent="0.25">
      <c r="A87" s="130"/>
      <c r="B87" s="130"/>
      <c r="C87" s="130"/>
      <c r="D87" s="130"/>
      <c r="E87" s="130"/>
      <c r="F87" s="130"/>
      <c r="G87" s="130"/>
      <c r="H87" s="130"/>
      <c r="I87" s="130"/>
      <c r="J87" s="130"/>
    </row>
    <row r="88" spans="1:10" x14ac:dyDescent="0.25">
      <c r="A88" s="130"/>
      <c r="B88" s="130"/>
      <c r="C88" s="130"/>
      <c r="D88" s="130"/>
      <c r="E88" s="130"/>
      <c r="F88" s="130"/>
      <c r="G88" s="130"/>
      <c r="H88" s="130"/>
      <c r="I88" s="130"/>
      <c r="J88" s="130"/>
    </row>
    <row r="89" spans="1:10" x14ac:dyDescent="0.25">
      <c r="A89" s="130"/>
      <c r="B89" s="130"/>
      <c r="C89" s="130"/>
      <c r="D89" s="130"/>
      <c r="E89" s="130"/>
      <c r="F89" s="130"/>
      <c r="G89" s="130"/>
      <c r="H89" s="130"/>
      <c r="I89" s="130"/>
      <c r="J89" s="130"/>
    </row>
    <row r="90" spans="1:10" x14ac:dyDescent="0.25">
      <c r="A90" s="130"/>
      <c r="B90" s="130"/>
      <c r="C90" s="130"/>
      <c r="D90" s="130"/>
      <c r="E90" s="130"/>
      <c r="F90" s="130"/>
      <c r="G90" s="130"/>
      <c r="H90" s="130"/>
      <c r="I90" s="130"/>
      <c r="J90" s="130"/>
    </row>
    <row r="91" spans="1:10" x14ac:dyDescent="0.25">
      <c r="A91" s="130"/>
      <c r="B91" s="130"/>
      <c r="C91" s="130"/>
      <c r="D91" s="130"/>
      <c r="E91" s="130"/>
      <c r="F91" s="130"/>
      <c r="G91" s="142" t="s">
        <v>122</v>
      </c>
      <c r="H91" s="130"/>
      <c r="I91" s="130"/>
      <c r="J91" s="130"/>
    </row>
    <row r="92" spans="1:10" x14ac:dyDescent="0.25">
      <c r="A92" s="130"/>
      <c r="B92" s="130"/>
      <c r="C92" s="130"/>
      <c r="D92" s="130"/>
      <c r="E92" s="130"/>
      <c r="F92" s="130"/>
      <c r="G92" s="130" t="s">
        <v>211</v>
      </c>
      <c r="H92" s="130"/>
      <c r="I92" s="130"/>
      <c r="J92" s="130"/>
    </row>
    <row r="93" spans="1:10" x14ac:dyDescent="0.25">
      <c r="A93" s="130"/>
      <c r="B93" s="130"/>
      <c r="C93" s="130"/>
      <c r="D93" s="130"/>
      <c r="E93" s="130"/>
      <c r="F93" s="130"/>
      <c r="G93" s="130" t="s">
        <v>212</v>
      </c>
      <c r="H93" s="130"/>
      <c r="I93" s="130"/>
      <c r="J93" s="130"/>
    </row>
    <row r="94" spans="1:10" x14ac:dyDescent="0.25">
      <c r="A94" s="130"/>
      <c r="B94" s="141" t="s">
        <v>203</v>
      </c>
      <c r="C94" s="130"/>
      <c r="D94" s="130"/>
      <c r="E94" s="130">
        <f>(((C12/25)*(D12/100)*E12)+((C13/25)*(D13/100)*E13)+((C14/25)*(D14/100)*E14)+((C15/25)*(D15/100)*E15)+((C16/25)*(D16/100)*E16))</f>
        <v>0</v>
      </c>
      <c r="F94" s="130"/>
      <c r="G94" s="141" t="s">
        <v>85</v>
      </c>
      <c r="H94" s="130"/>
      <c r="I94" s="130"/>
      <c r="J94" s="130"/>
    </row>
    <row r="95" spans="1:10" x14ac:dyDescent="0.25">
      <c r="A95" s="130"/>
      <c r="B95" s="141" t="s">
        <v>204</v>
      </c>
      <c r="C95" s="130"/>
      <c r="D95" s="130"/>
      <c r="E95" s="130">
        <f>(((C12+D12)*2/100)+((C13+D13)*2/100)+((C14+D14)*2/100)+((C15+D15)*2/100)+((C16+D16)*2/100))</f>
        <v>0</v>
      </c>
      <c r="F95" s="130"/>
      <c r="G95" s="141" t="s">
        <v>86</v>
      </c>
      <c r="H95" s="130"/>
      <c r="I95" s="130"/>
      <c r="J95" s="130"/>
    </row>
    <row r="96" spans="1:10" x14ac:dyDescent="0.25">
      <c r="A96" s="130"/>
      <c r="B96" s="141" t="s">
        <v>87</v>
      </c>
      <c r="C96" s="130"/>
      <c r="D96" s="130"/>
      <c r="E96" s="130">
        <f>E94+E95</f>
        <v>0</v>
      </c>
      <c r="F96" s="130"/>
      <c r="G96" s="141" t="s">
        <v>87</v>
      </c>
      <c r="H96" s="130"/>
      <c r="I96" s="130"/>
      <c r="J96" s="130"/>
    </row>
    <row r="97" spans="1:10" x14ac:dyDescent="0.25">
      <c r="A97" s="130"/>
      <c r="B97" s="130"/>
      <c r="C97" s="142" t="s">
        <v>122</v>
      </c>
      <c r="D97" s="130"/>
      <c r="E97" s="130"/>
      <c r="F97" s="130"/>
      <c r="G97" s="130"/>
      <c r="H97" s="130"/>
      <c r="I97" s="130"/>
      <c r="J97" s="130"/>
    </row>
    <row r="98" spans="1:10" x14ac:dyDescent="0.25">
      <c r="A98" s="130"/>
      <c r="B98" s="130"/>
      <c r="C98" s="141" t="s">
        <v>85</v>
      </c>
      <c r="D98" s="130"/>
      <c r="E98" s="130"/>
      <c r="F98" s="130"/>
      <c r="G98" s="130"/>
      <c r="H98" s="130"/>
      <c r="I98" s="130"/>
      <c r="J98" s="130"/>
    </row>
    <row r="99" spans="1:10" x14ac:dyDescent="0.25">
      <c r="A99" s="130"/>
      <c r="B99" s="130"/>
      <c r="C99" s="141" t="s">
        <v>86</v>
      </c>
      <c r="D99" s="130"/>
      <c r="E99" s="130"/>
      <c r="F99" s="130"/>
      <c r="G99" s="130"/>
      <c r="H99" s="142" t="s">
        <v>122</v>
      </c>
      <c r="I99" s="130"/>
      <c r="J99" s="130"/>
    </row>
    <row r="100" spans="1:10" x14ac:dyDescent="0.25">
      <c r="A100" s="130"/>
      <c r="B100" s="130"/>
      <c r="C100" s="141" t="s">
        <v>87</v>
      </c>
      <c r="D100" s="130"/>
      <c r="E100" s="130"/>
      <c r="F100" s="134" t="s">
        <v>13</v>
      </c>
      <c r="G100" s="130"/>
      <c r="H100" s="130" t="s">
        <v>137</v>
      </c>
      <c r="I100" s="130"/>
      <c r="J100" s="130"/>
    </row>
    <row r="101" spans="1:10" ht="184.9" customHeight="1" x14ac:dyDescent="0.25">
      <c r="A101" s="130"/>
      <c r="B101" s="130"/>
      <c r="C101" s="130"/>
      <c r="D101" s="130"/>
      <c r="E101" s="130"/>
      <c r="F101" s="134" t="s">
        <v>14</v>
      </c>
      <c r="G101" s="130"/>
      <c r="H101" s="130" t="s">
        <v>164</v>
      </c>
      <c r="I101" s="130"/>
      <c r="J101" s="130"/>
    </row>
    <row r="102" spans="1:10" x14ac:dyDescent="0.25">
      <c r="A102" s="130"/>
      <c r="B102" s="130"/>
      <c r="C102" s="130"/>
      <c r="D102" s="130"/>
      <c r="E102" s="130"/>
      <c r="F102" s="134" t="s">
        <v>25</v>
      </c>
      <c r="G102" s="130"/>
      <c r="H102" s="130"/>
      <c r="I102" s="130"/>
      <c r="J102" s="130"/>
    </row>
    <row r="103" spans="1:10" x14ac:dyDescent="0.25">
      <c r="A103" s="130"/>
      <c r="B103" s="130"/>
      <c r="C103" s="130" t="s">
        <v>96</v>
      </c>
      <c r="D103" s="130"/>
      <c r="E103" s="130"/>
      <c r="F103" s="130" t="s">
        <v>202</v>
      </c>
      <c r="G103" s="130" t="s">
        <v>165</v>
      </c>
      <c r="H103" s="130" t="s">
        <v>166</v>
      </c>
      <c r="I103" s="130"/>
      <c r="J103" s="130"/>
    </row>
    <row r="104" spans="1:10" x14ac:dyDescent="0.25">
      <c r="A104" s="130"/>
      <c r="B104" s="130"/>
      <c r="C104" s="130" t="s">
        <v>167</v>
      </c>
      <c r="D104" s="130"/>
      <c r="E104" s="142" t="s">
        <v>122</v>
      </c>
      <c r="F104" s="130"/>
      <c r="G104" s="130" t="s">
        <v>101</v>
      </c>
      <c r="H104" s="130" t="s">
        <v>94</v>
      </c>
      <c r="I104" s="130"/>
      <c r="J104" s="130"/>
    </row>
    <row r="105" spans="1:10" x14ac:dyDescent="0.25">
      <c r="A105" s="130"/>
      <c r="B105" s="130"/>
      <c r="C105" s="130"/>
      <c r="D105" s="130"/>
      <c r="E105" s="130" t="s">
        <v>130</v>
      </c>
      <c r="F105" s="130"/>
      <c r="G105" s="130"/>
      <c r="H105" s="130" t="s">
        <v>168</v>
      </c>
      <c r="I105" s="130"/>
      <c r="J105" s="130"/>
    </row>
    <row r="106" spans="1:10" x14ac:dyDescent="0.25">
      <c r="A106" s="130"/>
      <c r="B106" s="130"/>
      <c r="C106" s="130"/>
      <c r="D106" s="130"/>
      <c r="E106" s="130" t="s">
        <v>169</v>
      </c>
      <c r="F106" s="130"/>
      <c r="G106" s="130"/>
      <c r="H106" s="143" t="s">
        <v>122</v>
      </c>
      <c r="I106" s="130"/>
      <c r="J106" s="130"/>
    </row>
    <row r="107" spans="1:10" ht="18.75" x14ac:dyDescent="0.25">
      <c r="A107" s="130"/>
      <c r="B107" s="130"/>
      <c r="C107" s="142" t="s">
        <v>122</v>
      </c>
      <c r="D107" s="130"/>
      <c r="E107" s="130"/>
      <c r="F107" s="144" t="s">
        <v>105</v>
      </c>
      <c r="G107" s="145" t="s">
        <v>122</v>
      </c>
      <c r="H107" s="146" t="s">
        <v>123</v>
      </c>
      <c r="I107" s="130"/>
      <c r="J107" s="130"/>
    </row>
    <row r="108" spans="1:10" ht="18.75" x14ac:dyDescent="0.25">
      <c r="A108" s="130"/>
      <c r="B108" s="130"/>
      <c r="C108" s="130" t="s">
        <v>134</v>
      </c>
      <c r="D108" s="130"/>
      <c r="E108" s="130"/>
      <c r="F108" s="147" t="s">
        <v>122</v>
      </c>
      <c r="G108" s="130" t="s">
        <v>104</v>
      </c>
      <c r="H108" s="146" t="s">
        <v>149</v>
      </c>
      <c r="I108" s="130"/>
      <c r="J108" s="130"/>
    </row>
    <row r="109" spans="1:10" ht="18.75" x14ac:dyDescent="0.25">
      <c r="A109" s="130"/>
      <c r="B109" s="130"/>
      <c r="C109" s="130" t="s">
        <v>173</v>
      </c>
      <c r="D109" s="130"/>
      <c r="E109" s="130"/>
      <c r="F109" s="148" t="s">
        <v>108</v>
      </c>
      <c r="G109" s="130" t="s">
        <v>174</v>
      </c>
      <c r="H109" s="146" t="s">
        <v>150</v>
      </c>
      <c r="I109" s="130"/>
      <c r="J109" s="130"/>
    </row>
    <row r="110" spans="1:10" ht="18.75" x14ac:dyDescent="0.25">
      <c r="A110" s="130"/>
      <c r="B110" s="130"/>
      <c r="C110" s="130" t="s">
        <v>176</v>
      </c>
      <c r="D110" s="130"/>
      <c r="E110" s="130"/>
      <c r="F110" s="148" t="s">
        <v>109</v>
      </c>
      <c r="G110" s="130" t="s">
        <v>177</v>
      </c>
      <c r="H110" s="146" t="s">
        <v>151</v>
      </c>
      <c r="I110" s="130"/>
      <c r="J110" s="130"/>
    </row>
    <row r="111" spans="1:10" x14ac:dyDescent="0.25">
      <c r="A111" s="130"/>
      <c r="B111" s="130"/>
      <c r="C111" s="130" t="s">
        <v>179</v>
      </c>
      <c r="D111" s="130"/>
      <c r="E111" s="130"/>
      <c r="F111" s="148" t="s">
        <v>110</v>
      </c>
      <c r="G111" s="130"/>
      <c r="H111" s="130"/>
      <c r="I111" s="130"/>
      <c r="J111" s="130"/>
    </row>
    <row r="112" spans="1:10" x14ac:dyDescent="0.25">
      <c r="A112" s="130"/>
      <c r="B112" s="130"/>
      <c r="C112" s="130"/>
      <c r="D112" s="130"/>
      <c r="E112" s="130"/>
      <c r="F112" s="147" t="s">
        <v>122</v>
      </c>
      <c r="G112" s="130"/>
      <c r="H112" s="142" t="s">
        <v>122</v>
      </c>
      <c r="I112" s="130"/>
      <c r="J112" s="130"/>
    </row>
    <row r="113" spans="1:10" ht="18.75" x14ac:dyDescent="0.25">
      <c r="A113" s="130"/>
      <c r="B113" s="130"/>
      <c r="C113" s="130"/>
      <c r="D113" s="130"/>
      <c r="E113" s="130"/>
      <c r="F113" s="149" t="s">
        <v>112</v>
      </c>
      <c r="G113" s="130"/>
      <c r="H113" s="146" t="s">
        <v>140</v>
      </c>
      <c r="I113" s="130"/>
      <c r="J113" s="130"/>
    </row>
    <row r="114" spans="1:10" ht="18.75" x14ac:dyDescent="0.25">
      <c r="A114" s="130"/>
      <c r="B114" s="130"/>
      <c r="C114" s="130" t="s">
        <v>106</v>
      </c>
      <c r="D114" s="130"/>
      <c r="E114" s="130"/>
      <c r="F114" s="150" t="s">
        <v>113</v>
      </c>
      <c r="G114" s="130"/>
      <c r="H114" s="146" t="s">
        <v>183</v>
      </c>
      <c r="I114" s="130"/>
      <c r="J114" s="130"/>
    </row>
    <row r="115" spans="1:10" ht="18.75" x14ac:dyDescent="0.25">
      <c r="A115" s="130"/>
      <c r="B115" s="130"/>
      <c r="C115" s="130" t="s">
        <v>185</v>
      </c>
      <c r="D115" s="130"/>
      <c r="E115" s="130"/>
      <c r="F115" s="149" t="s">
        <v>114</v>
      </c>
      <c r="G115" s="130"/>
      <c r="H115" s="146" t="s">
        <v>186</v>
      </c>
      <c r="I115" s="130"/>
      <c r="J115" s="130"/>
    </row>
    <row r="116" spans="1:10" x14ac:dyDescent="0.25">
      <c r="A116" s="130"/>
      <c r="B116" s="130"/>
      <c r="C116" s="130" t="s">
        <v>188</v>
      </c>
      <c r="D116" s="130"/>
      <c r="E116" s="130"/>
      <c r="F116" s="149" t="s">
        <v>115</v>
      </c>
      <c r="G116" s="130"/>
      <c r="H116" s="130"/>
      <c r="I116" s="130"/>
      <c r="J116" s="130"/>
    </row>
    <row r="117" spans="1:10" x14ac:dyDescent="0.25">
      <c r="A117" s="130"/>
      <c r="B117" s="130"/>
      <c r="C117" s="130" t="s">
        <v>189</v>
      </c>
      <c r="D117" s="130"/>
      <c r="E117" s="130"/>
      <c r="F117" s="149" t="s">
        <v>116</v>
      </c>
      <c r="G117" s="130"/>
      <c r="H117" s="130"/>
      <c r="I117" s="130"/>
      <c r="J117" s="130"/>
    </row>
    <row r="118" spans="1:10" x14ac:dyDescent="0.25">
      <c r="A118" s="130"/>
      <c r="B118" s="130"/>
      <c r="C118" s="130" t="s">
        <v>191</v>
      </c>
      <c r="D118" s="130"/>
      <c r="E118" s="130"/>
      <c r="F118" s="130"/>
      <c r="G118" s="130"/>
      <c r="H118" s="130"/>
      <c r="I118" s="130"/>
      <c r="J118" s="130"/>
    </row>
    <row r="119" spans="1:10" x14ac:dyDescent="0.25">
      <c r="A119" s="130"/>
      <c r="B119" s="130"/>
      <c r="C119" s="130" t="s">
        <v>193</v>
      </c>
      <c r="D119" s="130"/>
      <c r="E119" s="130"/>
      <c r="F119" s="130"/>
      <c r="G119" s="130"/>
      <c r="H119" s="130"/>
      <c r="I119" s="130"/>
      <c r="J119" s="130"/>
    </row>
    <row r="120" spans="1:10" x14ac:dyDescent="0.25">
      <c r="A120" s="130"/>
      <c r="B120" s="130"/>
      <c r="C120" s="130" t="s">
        <v>195</v>
      </c>
      <c r="D120" s="130"/>
      <c r="E120" s="130"/>
      <c r="F120" s="130"/>
      <c r="G120" s="130"/>
      <c r="H120" s="130"/>
      <c r="I120" s="130"/>
      <c r="J120" s="130"/>
    </row>
    <row r="121" spans="1:10" x14ac:dyDescent="0.25">
      <c r="A121" s="130"/>
      <c r="B121" s="130"/>
      <c r="C121" s="130"/>
      <c r="D121" s="130"/>
      <c r="E121" s="130"/>
      <c r="F121" s="130"/>
      <c r="G121" s="130"/>
      <c r="H121" s="130"/>
      <c r="I121" s="130"/>
      <c r="J121" s="130"/>
    </row>
    <row r="124" spans="1:10" x14ac:dyDescent="0.25">
      <c r="H124" t="s">
        <v>131</v>
      </c>
    </row>
    <row r="125" spans="1:10" x14ac:dyDescent="0.25">
      <c r="H125" s="54" t="s">
        <v>122</v>
      </c>
    </row>
    <row r="126" spans="1:10" x14ac:dyDescent="0.25">
      <c r="H126" t="s">
        <v>170</v>
      </c>
    </row>
    <row r="127" spans="1:10" x14ac:dyDescent="0.25">
      <c r="H127" t="s">
        <v>171</v>
      </c>
    </row>
    <row r="128" spans="1:10" x14ac:dyDescent="0.25">
      <c r="H128" t="s">
        <v>172</v>
      </c>
    </row>
    <row r="129" spans="8:8" x14ac:dyDescent="0.25">
      <c r="H129" t="s">
        <v>175</v>
      </c>
    </row>
    <row r="130" spans="8:8" x14ac:dyDescent="0.25">
      <c r="H130" t="s">
        <v>178</v>
      </c>
    </row>
    <row r="131" spans="8:8" x14ac:dyDescent="0.25">
      <c r="H131" t="s">
        <v>180</v>
      </c>
    </row>
    <row r="132" spans="8:8" x14ac:dyDescent="0.25">
      <c r="H132" t="s">
        <v>181</v>
      </c>
    </row>
    <row r="133" spans="8:8" x14ac:dyDescent="0.25">
      <c r="H133" t="s">
        <v>182</v>
      </c>
    </row>
    <row r="134" spans="8:8" x14ac:dyDescent="0.25">
      <c r="H134" t="s">
        <v>184</v>
      </c>
    </row>
    <row r="135" spans="8:8" x14ac:dyDescent="0.25">
      <c r="H135" t="s">
        <v>187</v>
      </c>
    </row>
    <row r="137" spans="8:8" x14ac:dyDescent="0.25">
      <c r="H137" t="s">
        <v>190</v>
      </c>
    </row>
    <row r="138" spans="8:8" x14ac:dyDescent="0.25">
      <c r="H138" t="s">
        <v>192</v>
      </c>
    </row>
    <row r="139" spans="8:8" x14ac:dyDescent="0.25">
      <c r="H139" t="s">
        <v>194</v>
      </c>
    </row>
    <row r="140" spans="8:8" x14ac:dyDescent="0.25">
      <c r="H140" t="s">
        <v>196</v>
      </c>
    </row>
    <row r="141" spans="8:8" x14ac:dyDescent="0.25">
      <c r="H141" t="s">
        <v>197</v>
      </c>
    </row>
    <row r="142" spans="8:8" x14ac:dyDescent="0.25">
      <c r="H142" t="s">
        <v>198</v>
      </c>
    </row>
    <row r="143" spans="8:8" x14ac:dyDescent="0.25">
      <c r="H143" t="s">
        <v>199</v>
      </c>
    </row>
    <row r="144" spans="8:8" x14ac:dyDescent="0.25">
      <c r="H144" t="s">
        <v>200</v>
      </c>
    </row>
  </sheetData>
  <mergeCells count="103">
    <mergeCell ref="B7:C7"/>
    <mergeCell ref="G17:H17"/>
    <mergeCell ref="B8:C8"/>
    <mergeCell ref="B9:C9"/>
    <mergeCell ref="B10:C10"/>
    <mergeCell ref="E17:F17"/>
    <mergeCell ref="D8:H10"/>
    <mergeCell ref="B1:H1"/>
    <mergeCell ref="T1:U1"/>
    <mergeCell ref="B2:E2"/>
    <mergeCell ref="F2:H2"/>
    <mergeCell ref="B3:C3"/>
    <mergeCell ref="D3:E3"/>
    <mergeCell ref="G3:H3"/>
    <mergeCell ref="T9:U9"/>
    <mergeCell ref="B4:C4"/>
    <mergeCell ref="D4:E4"/>
    <mergeCell ref="G4:H4"/>
    <mergeCell ref="B5:C5"/>
    <mergeCell ref="D5:E5"/>
    <mergeCell ref="G5:H5"/>
    <mergeCell ref="B6:H6"/>
    <mergeCell ref="D7:F7"/>
    <mergeCell ref="G7:H7"/>
    <mergeCell ref="H12:H16"/>
    <mergeCell ref="G18:H18"/>
    <mergeCell ref="J23:J24"/>
    <mergeCell ref="M23:M24"/>
    <mergeCell ref="O23:P23"/>
    <mergeCell ref="R23:S24"/>
    <mergeCell ref="T23:T24"/>
    <mergeCell ref="T10:U10"/>
    <mergeCell ref="Q11:Q12"/>
    <mergeCell ref="T11:U11"/>
    <mergeCell ref="M13:O13"/>
    <mergeCell ref="N14:P14"/>
    <mergeCell ref="R14:S14"/>
    <mergeCell ref="J15:J20"/>
    <mergeCell ref="M15:M20"/>
    <mergeCell ref="O15:P15"/>
    <mergeCell ref="R15:S20"/>
    <mergeCell ref="T15:T20"/>
    <mergeCell ref="U15:U20"/>
    <mergeCell ref="O16:P16"/>
    <mergeCell ref="N20:Q20"/>
    <mergeCell ref="N17:Q17"/>
    <mergeCell ref="N18:Q18"/>
    <mergeCell ref="M65:O65"/>
    <mergeCell ref="Q65:S65"/>
    <mergeCell ref="U23:U24"/>
    <mergeCell ref="O24:P24"/>
    <mergeCell ref="R21:S22"/>
    <mergeCell ref="E18:F18"/>
    <mergeCell ref="E19:F19"/>
    <mergeCell ref="E20:F20"/>
    <mergeCell ref="J25:J26"/>
    <mergeCell ref="M25:M26"/>
    <mergeCell ref="O25:P25"/>
    <mergeCell ref="R25:S26"/>
    <mergeCell ref="T25:T26"/>
    <mergeCell ref="O26:P26"/>
    <mergeCell ref="J21:J22"/>
    <mergeCell ref="M21:M22"/>
    <mergeCell ref="O21:P21"/>
    <mergeCell ref="T21:T22"/>
    <mergeCell ref="D21:E21"/>
    <mergeCell ref="D22:E22"/>
    <mergeCell ref="M29:M30"/>
    <mergeCell ref="R29:S30"/>
    <mergeCell ref="T29:T30"/>
    <mergeCell ref="U29:U30"/>
    <mergeCell ref="N32:T32"/>
    <mergeCell ref="J27:J28"/>
    <mergeCell ref="M27:M28"/>
    <mergeCell ref="O27:P27"/>
    <mergeCell ref="R27:S28"/>
    <mergeCell ref="T27:T28"/>
    <mergeCell ref="J29:J30"/>
    <mergeCell ref="N31:Q31"/>
    <mergeCell ref="M75:U75"/>
    <mergeCell ref="O19:Q19"/>
    <mergeCell ref="M66:U66"/>
    <mergeCell ref="M67:U67"/>
    <mergeCell ref="M68:U68"/>
    <mergeCell ref="M69:U69"/>
    <mergeCell ref="M70:U70"/>
    <mergeCell ref="M71:U72"/>
    <mergeCell ref="O41:P41"/>
    <mergeCell ref="T60:U60"/>
    <mergeCell ref="T61:U61"/>
    <mergeCell ref="T62:U62"/>
    <mergeCell ref="M64:U64"/>
    <mergeCell ref="S33:T33"/>
    <mergeCell ref="R34:T34"/>
    <mergeCell ref="M73:U73"/>
    <mergeCell ref="M74:U74"/>
    <mergeCell ref="U25:U26"/>
    <mergeCell ref="U21:U22"/>
    <mergeCell ref="O22:P22"/>
    <mergeCell ref="U27:U28"/>
    <mergeCell ref="O28:P28"/>
    <mergeCell ref="N29:Q29"/>
    <mergeCell ref="N30:Q30"/>
  </mergeCells>
  <conditionalFormatting sqref="B12:B16">
    <cfRule type="cellIs" dxfId="2" priority="1" operator="equal">
      <formula>"NOT IN RANGE"</formula>
    </cfRule>
    <cfRule type="cellIs" dxfId="1" priority="2" operator="equal">
      <formula>"CORRECT RANGE"</formula>
    </cfRule>
  </conditionalFormatting>
  <conditionalFormatting sqref="R33">
    <cfRule type="cellIs" dxfId="0" priority="3" operator="equal">
      <formula>0</formula>
    </cfRule>
  </conditionalFormatting>
  <dataValidations count="12">
    <dataValidation type="list" allowBlank="1" showInputMessage="1" showErrorMessage="1" sqref="G18" xr:uid="{E5997925-01E5-4695-A999-129EA8B87397}">
      <formula1>$F$100:$F$103</formula1>
    </dataValidation>
    <dataValidation type="list" allowBlank="1" showInputMessage="1" showErrorMessage="1" sqref="B4:C4" xr:uid="{0B575ACB-2000-4EED-A6E3-3BCDF831EB05}">
      <formula1>$C$103:$C$104</formula1>
    </dataValidation>
    <dataValidation type="list" allowBlank="1" showInputMessage="1" showErrorMessage="1" sqref="D3:E3" xr:uid="{545BFCF7-D4B2-4E3D-8A85-7ABB1C3E053B}">
      <formula1>$H$103:$H$105</formula1>
    </dataValidation>
    <dataValidation type="list" allowBlank="1" showInputMessage="1" showErrorMessage="1" sqref="H19" xr:uid="{7BCAE380-50FE-4A08-AFD9-7F193464C8CB}">
      <formula1>$H$112:$H$115</formula1>
    </dataValidation>
    <dataValidation type="list" allowBlank="1" showInputMessage="1" showErrorMessage="1" sqref="G5" xr:uid="{16FFA612-7E29-41F7-9DC9-83A51BDFDF2C}">
      <formula1>$G$103:$G$104</formula1>
    </dataValidation>
    <dataValidation type="list" allowBlank="1" showInputMessage="1" showErrorMessage="1" sqref="F12:F16" xr:uid="{8710C159-CA06-4CD9-A16D-8B29CD8399E0}">
      <formula1>$G$107:$G$110</formula1>
    </dataValidation>
    <dataValidation type="list" allowBlank="1" showInputMessage="1" showErrorMessage="1" sqref="H106" xr:uid="{DB22C62D-B896-4D48-BE74-37B43B3403BD}">
      <formula1>$H$106:$H$110</formula1>
    </dataValidation>
    <dataValidation type="list" allowBlank="1" showInputMessage="1" showErrorMessage="1" sqref="H12" xr:uid="{30684815-BB25-47BA-BFC5-43B9FB48E7AF}">
      <formula1>$C$97:$C$100</formula1>
    </dataValidation>
    <dataValidation type="list" allowBlank="1" showInputMessage="1" showErrorMessage="1" sqref="G12:G16" xr:uid="{3B10BC1F-5FA2-4C73-966C-1D10D6C51ACE}">
      <formula1>$G$91:$G$93</formula1>
    </dataValidation>
    <dataValidation type="list" allowBlank="1" showInputMessage="1" showErrorMessage="1" sqref="E17:F17" xr:uid="{320E507C-AE2C-4A26-885A-FC5585FD958B}">
      <formula1>$C$107:$C$111</formula1>
    </dataValidation>
    <dataValidation type="list" allowBlank="1" showInputMessage="1" showErrorMessage="1" sqref="E18:F18" xr:uid="{A11A0A58-7A45-4970-8F3D-C2844199980B}">
      <formula1>$H$99:$H$101</formula1>
    </dataValidation>
    <dataValidation type="list" allowBlank="1" showInputMessage="1" showErrorMessage="1" sqref="G7" xr:uid="{3AD67C7D-FEE7-4D09-8896-E4559155492E}">
      <formula1>$C$114:$C$120</formula1>
    </dataValidation>
  </dataValidations>
  <pageMargins left="0" right="0" top="0" bottom="0" header="0" footer="0"/>
  <pageSetup paperSize="9" scale="97" fitToHeight="0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CE0BB-F463-4013-AD4C-47A138CEE8A0}">
  <dimension ref="A2:L109"/>
  <sheetViews>
    <sheetView rightToLeft="1" topLeftCell="A3" workbookViewId="0">
      <selection activeCell="J18" sqref="J18"/>
    </sheetView>
  </sheetViews>
  <sheetFormatPr defaultRowHeight="15" x14ac:dyDescent="0.25"/>
  <cols>
    <col min="2" max="3" width="24.5703125" customWidth="1"/>
    <col min="4" max="4" width="10" customWidth="1"/>
    <col min="5" max="5" width="7.42578125" customWidth="1"/>
    <col min="6" max="7" width="15" customWidth="1"/>
    <col min="8" max="8" width="12.42578125" customWidth="1"/>
    <col min="9" max="9" width="12" style="100" customWidth="1"/>
    <col min="10" max="10" width="16.42578125" customWidth="1"/>
    <col min="11" max="11" width="14.140625" customWidth="1"/>
    <col min="12" max="12" width="11.42578125" customWidth="1"/>
  </cols>
  <sheetData>
    <row r="2" spans="2:11" x14ac:dyDescent="0.25">
      <c r="B2" s="191" t="s">
        <v>89</v>
      </c>
      <c r="C2" s="101" t="s">
        <v>74</v>
      </c>
      <c r="D2" s="195">
        <f>G30+G41+G59+G60+G83+G86+G98+G99+G100</f>
        <v>6500000</v>
      </c>
      <c r="E2" s="195"/>
      <c r="F2" s="102">
        <f>D2/$J$2</f>
        <v>1.1216953130392766E-2</v>
      </c>
      <c r="H2" s="202" t="s">
        <v>89</v>
      </c>
      <c r="I2" s="202"/>
      <c r="J2" s="120">
        <f>D37+D49+D66+D78+D92+D106-D109</f>
        <v>579480000</v>
      </c>
      <c r="K2" s="120"/>
    </row>
    <row r="3" spans="2:11" x14ac:dyDescent="0.25">
      <c r="B3" s="191"/>
      <c r="C3" s="101" t="s">
        <v>75</v>
      </c>
      <c r="D3" s="195">
        <f>G25+G90</f>
        <v>390000000</v>
      </c>
      <c r="E3" s="195"/>
      <c r="F3" s="102">
        <f t="shared" ref="F3:F5" si="0">D3/$J$2</f>
        <v>0.67301718782356601</v>
      </c>
      <c r="H3" s="202" t="s">
        <v>206</v>
      </c>
      <c r="I3" s="202"/>
      <c r="J3" s="120">
        <f>SUM(D6:E9)</f>
        <v>614991250</v>
      </c>
      <c r="K3" s="120"/>
    </row>
    <row r="4" spans="2:11" x14ac:dyDescent="0.25">
      <c r="B4" s="191"/>
      <c r="C4" s="101" t="s">
        <v>76</v>
      </c>
      <c r="D4" s="195">
        <f>G36+G48+G65+G77+G91+(0.6*G105)</f>
        <v>22072500</v>
      </c>
      <c r="E4" s="195"/>
      <c r="F4" s="102">
        <f t="shared" si="0"/>
        <v>3.8090184303168358E-2</v>
      </c>
      <c r="H4" s="202" t="s">
        <v>207</v>
      </c>
      <c r="I4" s="202"/>
      <c r="J4" s="120">
        <f>D37+D49+D66+D78+D92+D106</f>
        <v>650502500</v>
      </c>
      <c r="K4" s="120"/>
    </row>
    <row r="5" spans="2:11" x14ac:dyDescent="0.25">
      <c r="B5" s="191"/>
      <c r="C5" s="101" t="s">
        <v>77</v>
      </c>
      <c r="D5" s="195">
        <f>J2-D2-D3-D4</f>
        <v>160907500</v>
      </c>
      <c r="E5" s="195"/>
      <c r="F5" s="102">
        <f t="shared" si="0"/>
        <v>0.27767567474287291</v>
      </c>
      <c r="H5" s="121"/>
      <c r="I5" s="97" t="s">
        <v>13</v>
      </c>
      <c r="J5" s="121"/>
      <c r="K5" s="22">
        <f>300*'S1'!D10</f>
        <v>210000000</v>
      </c>
    </row>
    <row r="6" spans="2:11" x14ac:dyDescent="0.25">
      <c r="B6" s="192" t="s">
        <v>206</v>
      </c>
      <c r="C6" s="103" t="s">
        <v>74</v>
      </c>
      <c r="D6" s="194">
        <f>D10-F16</f>
        <v>57925000</v>
      </c>
      <c r="E6" s="194"/>
      <c r="F6" s="104">
        <f>D6/$J$3</f>
        <v>9.4188331947812259E-2</v>
      </c>
      <c r="H6" s="121"/>
      <c r="I6" s="97" t="s">
        <v>14</v>
      </c>
      <c r="J6" s="121"/>
      <c r="K6" s="22">
        <f>390*'S1'!D10</f>
        <v>273000000</v>
      </c>
    </row>
    <row r="7" spans="2:11" x14ac:dyDescent="0.25">
      <c r="B7" s="192"/>
      <c r="C7" s="103" t="s">
        <v>75</v>
      </c>
      <c r="D7" s="194">
        <f>D11</f>
        <v>390000000</v>
      </c>
      <c r="E7" s="194"/>
      <c r="F7" s="104">
        <f t="shared" ref="F7:F9" si="1">D7/$J$3</f>
        <v>0.63415536399908123</v>
      </c>
      <c r="H7" s="121"/>
      <c r="I7" s="97" t="s">
        <v>25</v>
      </c>
      <c r="J7" s="121"/>
      <c r="K7" s="22">
        <f>60*'S1'!D10</f>
        <v>42000000</v>
      </c>
    </row>
    <row r="8" spans="2:11" x14ac:dyDescent="0.25">
      <c r="B8" s="192"/>
      <c r="C8" s="103" t="s">
        <v>76</v>
      </c>
      <c r="D8" s="194">
        <f>D12-F17</f>
        <v>26280000</v>
      </c>
      <c r="E8" s="194"/>
      <c r="F8" s="104">
        <f t="shared" si="1"/>
        <v>4.2732315297168859E-2</v>
      </c>
      <c r="H8" s="208" t="s">
        <v>23</v>
      </c>
      <c r="I8" s="208"/>
      <c r="J8" s="208"/>
      <c r="K8" s="20">
        <f>6*'S1'!D10*'S1'!D3*'S1'!D4</f>
        <v>0</v>
      </c>
    </row>
    <row r="9" spans="2:11" ht="15.75" x14ac:dyDescent="0.25">
      <c r="B9" s="192"/>
      <c r="C9" s="103" t="s">
        <v>77</v>
      </c>
      <c r="D9" s="194">
        <f>D13-F18</f>
        <v>140786250</v>
      </c>
      <c r="E9" s="194"/>
      <c r="F9" s="104">
        <f t="shared" si="1"/>
        <v>0.22892398875593759</v>
      </c>
      <c r="H9" s="122"/>
      <c r="I9" s="23"/>
      <c r="J9" s="123" t="s">
        <v>15</v>
      </c>
      <c r="K9" s="124">
        <v>35</v>
      </c>
    </row>
    <row r="10" spans="2:11" ht="15.75" x14ac:dyDescent="0.25">
      <c r="B10" s="193" t="s">
        <v>207</v>
      </c>
      <c r="C10" s="105" t="s">
        <v>74</v>
      </c>
      <c r="D10" s="196">
        <f>G30+G41+G59+G60+G83+G86+G97+G98+G99+G100</f>
        <v>109350000</v>
      </c>
      <c r="E10" s="196"/>
      <c r="F10" s="106">
        <f>D10/$J$4</f>
        <v>0.16810081437042901</v>
      </c>
      <c r="H10" s="125"/>
      <c r="I10" s="21"/>
      <c r="J10" s="123" t="s">
        <v>17</v>
      </c>
      <c r="K10" s="124">
        <v>50</v>
      </c>
    </row>
    <row r="11" spans="2:11" ht="15.75" x14ac:dyDescent="0.25">
      <c r="B11" s="193"/>
      <c r="C11" s="105" t="s">
        <v>75</v>
      </c>
      <c r="D11" s="196">
        <f>G25+G90</f>
        <v>390000000</v>
      </c>
      <c r="E11" s="196"/>
      <c r="F11" s="106">
        <f t="shared" ref="F11:F13" si="2">D11/$J$4</f>
        <v>0.59953651215790871</v>
      </c>
      <c r="H11" s="125"/>
      <c r="I11" s="21"/>
      <c r="J11" s="123" t="s">
        <v>18</v>
      </c>
      <c r="K11" s="124">
        <v>0</v>
      </c>
    </row>
    <row r="12" spans="2:11" x14ac:dyDescent="0.25">
      <c r="B12" s="193"/>
      <c r="C12" s="105" t="s">
        <v>76</v>
      </c>
      <c r="D12" s="196">
        <f>G36+G48+G65+G77+G91+G105</f>
        <v>30487500</v>
      </c>
      <c r="E12" s="196"/>
      <c r="F12" s="106">
        <f t="shared" si="2"/>
        <v>4.6867613883113439E-2</v>
      </c>
      <c r="H12" s="126" t="s">
        <v>89</v>
      </c>
      <c r="I12" s="127"/>
      <c r="J12" s="127">
        <f>FLOOR((J2+K8)*'S1'!D5,100000)</f>
        <v>0</v>
      </c>
      <c r="K12" s="127" t="s">
        <v>208</v>
      </c>
    </row>
    <row r="13" spans="2:11" x14ac:dyDescent="0.25">
      <c r="B13" s="193"/>
      <c r="C13" s="105" t="s">
        <v>77</v>
      </c>
      <c r="D13" s="196">
        <f>J4-D10-D11-D12</f>
        <v>120665000</v>
      </c>
      <c r="E13" s="196"/>
      <c r="F13" s="106">
        <f t="shared" si="2"/>
        <v>0.18549505958854887</v>
      </c>
      <c r="H13" s="126" t="s">
        <v>206</v>
      </c>
      <c r="I13" s="127"/>
      <c r="J13" s="127">
        <f>FLOOR((J3+K8)*'S1'!D5,100000)</f>
        <v>0</v>
      </c>
      <c r="K13" s="127"/>
    </row>
    <row r="14" spans="2:11" x14ac:dyDescent="0.25">
      <c r="H14" s="126" t="s">
        <v>207</v>
      </c>
      <c r="I14" s="127"/>
      <c r="J14" s="127">
        <f>FLOOR((J4+K8)*'S1'!D5,100000)</f>
        <v>0</v>
      </c>
      <c r="K14" s="127"/>
    </row>
    <row r="15" spans="2:11" x14ac:dyDescent="0.25">
      <c r="D15" s="201" t="s">
        <v>210</v>
      </c>
      <c r="E15" s="201"/>
      <c r="F15" s="201"/>
      <c r="H15" s="120" t="s">
        <v>89</v>
      </c>
      <c r="I15" s="8" t="s">
        <v>212</v>
      </c>
      <c r="J15" s="8">
        <f>FLOOR((J12*(1+K9*0.01)*(1+K10*0.01)*(1+K11*0.01)),100000)</f>
        <v>0</v>
      </c>
      <c r="K15" s="204" t="s">
        <v>209</v>
      </c>
    </row>
    <row r="16" spans="2:11" x14ac:dyDescent="0.25">
      <c r="D16" s="103" t="s">
        <v>74</v>
      </c>
      <c r="F16" s="128">
        <f>(D10-D2)/2</f>
        <v>51425000</v>
      </c>
      <c r="H16" s="120" t="s">
        <v>206</v>
      </c>
      <c r="I16" s="8" t="s">
        <v>212</v>
      </c>
      <c r="J16" s="8">
        <f>FLOOR((J13*(1+K9*0.01)*(1+K10*0.01)*(1+K11*0.01)),100000)</f>
        <v>0</v>
      </c>
      <c r="K16" s="204"/>
    </row>
    <row r="17" spans="1:12" x14ac:dyDescent="0.25">
      <c r="D17" s="103" t="s">
        <v>76</v>
      </c>
      <c r="F17" s="129">
        <f>(D12-D4)/2</f>
        <v>4207500</v>
      </c>
      <c r="H17" s="156" t="s">
        <v>207</v>
      </c>
      <c r="I17" s="157" t="s">
        <v>212</v>
      </c>
      <c r="J17" s="157">
        <f>FLOOR((J14*(1+K9*0.01)*(1+K10*0.01)*(1+K11*0.01)),100000)</f>
        <v>0</v>
      </c>
      <c r="K17" s="207"/>
    </row>
    <row r="18" spans="1:12" ht="18.75" x14ac:dyDescent="0.25">
      <c r="D18" s="103" t="s">
        <v>77</v>
      </c>
      <c r="F18" s="129">
        <f>(D13-D5)/2</f>
        <v>-20121250</v>
      </c>
      <c r="H18" s="205" t="s">
        <v>214</v>
      </c>
      <c r="I18" s="206"/>
      <c r="J18" s="161">
        <f>Invoice!C20</f>
        <v>28</v>
      </c>
      <c r="K18" s="121"/>
    </row>
    <row r="19" spans="1:12" x14ac:dyDescent="0.25">
      <c r="H19" s="158" t="s">
        <v>89</v>
      </c>
      <c r="I19" s="159" t="s">
        <v>211</v>
      </c>
      <c r="J19" s="159">
        <f>J15*(100-$J$18)/100</f>
        <v>0</v>
      </c>
      <c r="K19" s="203" t="s">
        <v>209</v>
      </c>
    </row>
    <row r="20" spans="1:12" x14ac:dyDescent="0.25">
      <c r="H20" s="120" t="s">
        <v>206</v>
      </c>
      <c r="I20" s="8" t="s">
        <v>211</v>
      </c>
      <c r="J20" s="159">
        <f t="shared" ref="J20:J21" si="3">J16*(100-$J$18)/100</f>
        <v>0</v>
      </c>
      <c r="K20" s="204"/>
    </row>
    <row r="21" spans="1:12" x14ac:dyDescent="0.25">
      <c r="H21" s="120" t="s">
        <v>207</v>
      </c>
      <c r="I21" s="8" t="s">
        <v>211</v>
      </c>
      <c r="J21" s="159">
        <f t="shared" si="3"/>
        <v>0</v>
      </c>
      <c r="K21" s="204"/>
    </row>
    <row r="22" spans="1:12" x14ac:dyDescent="0.25">
      <c r="A22" s="152"/>
      <c r="B22" s="152"/>
      <c r="C22" s="152"/>
      <c r="D22" s="152"/>
      <c r="E22" s="152"/>
      <c r="F22" s="152"/>
      <c r="G22" s="152"/>
      <c r="H22" s="153"/>
      <c r="I22" s="155"/>
      <c r="J22" s="154"/>
      <c r="K22" s="155"/>
      <c r="L22" s="152"/>
    </row>
    <row r="23" spans="1:12" ht="21" x14ac:dyDescent="0.25">
      <c r="B23" s="1"/>
      <c r="C23" s="1"/>
      <c r="D23" s="200" t="s">
        <v>30</v>
      </c>
      <c r="E23" s="200"/>
      <c r="F23" s="200"/>
      <c r="G23" s="2"/>
    </row>
    <row r="24" spans="1:12" x14ac:dyDescent="0.25">
      <c r="B24" s="3"/>
      <c r="C24" s="3"/>
      <c r="D24" s="4" t="s">
        <v>0</v>
      </c>
      <c r="E24" s="4" t="s">
        <v>1</v>
      </c>
      <c r="F24" s="5" t="s">
        <v>28</v>
      </c>
      <c r="G24" s="2"/>
    </row>
    <row r="25" spans="1:12" ht="40.15" customHeight="1" x14ac:dyDescent="0.25">
      <c r="B25" s="3"/>
      <c r="C25" s="37" t="str">
        <f>'S1'!D8</f>
        <v xml:space="preserve">120Nm بکر آلمان </v>
      </c>
      <c r="D25" s="6">
        <v>1</v>
      </c>
      <c r="E25" s="7" t="s">
        <v>2</v>
      </c>
      <c r="F25" s="47">
        <f>IF(AND(C25="120Nm بکر آلمان "),K5,IF(AND(C25="120Nm  سامفی فرانسه "),K6,IF(AND(C25="120Nm  اختصاصی سایه روشن "),K7,0)))</f>
        <v>210000000</v>
      </c>
      <c r="G25" s="8">
        <f t="shared" ref="G25:G31" si="4">F25*D25</f>
        <v>210000000</v>
      </c>
    </row>
    <row r="26" spans="1:12" ht="40.15" customHeight="1" x14ac:dyDescent="0.25">
      <c r="B26" s="3"/>
      <c r="C26" s="3" t="s">
        <v>26</v>
      </c>
      <c r="D26" s="6">
        <v>2</v>
      </c>
      <c r="E26" s="7" t="s">
        <v>2</v>
      </c>
      <c r="F26" s="47">
        <v>1200000</v>
      </c>
      <c r="G26" s="8">
        <f t="shared" si="4"/>
        <v>2400000</v>
      </c>
    </row>
    <row r="27" spans="1:12" ht="40.15" customHeight="1" x14ac:dyDescent="0.25">
      <c r="B27" s="3"/>
      <c r="C27" s="3" t="s">
        <v>3</v>
      </c>
      <c r="D27" s="6">
        <v>1.5</v>
      </c>
      <c r="E27" s="7" t="s">
        <v>4</v>
      </c>
      <c r="F27" s="47">
        <v>750000</v>
      </c>
      <c r="G27" s="8">
        <f t="shared" si="4"/>
        <v>1125000</v>
      </c>
    </row>
    <row r="28" spans="1:12" ht="40.15" customHeight="1" x14ac:dyDescent="0.25">
      <c r="B28" s="3"/>
      <c r="C28" s="3" t="s">
        <v>27</v>
      </c>
      <c r="D28" s="6">
        <v>2</v>
      </c>
      <c r="E28" s="7" t="s">
        <v>2</v>
      </c>
      <c r="F28" s="47">
        <v>350000</v>
      </c>
      <c r="G28" s="8">
        <f t="shared" si="4"/>
        <v>700000</v>
      </c>
    </row>
    <row r="29" spans="1:12" ht="40.15" customHeight="1" x14ac:dyDescent="0.25">
      <c r="B29" s="3"/>
      <c r="C29" s="3" t="s">
        <v>5</v>
      </c>
      <c r="D29" s="38">
        <f>IF(AND('S1'!D4&lt;=4),('S1'!D4-0.8),IF(AND('S1'!D4&gt;4),(('S1'!D4/2)-0.8),0))</f>
        <v>-0.8</v>
      </c>
      <c r="E29" s="7" t="s">
        <v>2</v>
      </c>
      <c r="F29" s="47">
        <f>H29*'S1'!D11</f>
        <v>4400000</v>
      </c>
      <c r="G29" s="8">
        <f t="shared" si="4"/>
        <v>-3520000</v>
      </c>
      <c r="H29">
        <v>2</v>
      </c>
    </row>
    <row r="30" spans="1:12" ht="40.15" customHeight="1" x14ac:dyDescent="0.25">
      <c r="B30" s="3"/>
      <c r="C30" s="3" t="s">
        <v>29</v>
      </c>
      <c r="D30" s="6">
        <v>2</v>
      </c>
      <c r="E30" s="7" t="s">
        <v>2</v>
      </c>
      <c r="F30" s="47">
        <v>750000</v>
      </c>
      <c r="G30" s="8">
        <f t="shared" si="4"/>
        <v>1500000</v>
      </c>
    </row>
    <row r="31" spans="1:12" ht="40.15" customHeight="1" x14ac:dyDescent="0.25">
      <c r="B31" s="3"/>
      <c r="C31" s="3" t="s">
        <v>6</v>
      </c>
      <c r="D31" s="6">
        <v>2</v>
      </c>
      <c r="E31" s="7" t="s">
        <v>2</v>
      </c>
      <c r="F31" s="47">
        <v>850000</v>
      </c>
      <c r="G31" s="8">
        <f t="shared" si="4"/>
        <v>1700000</v>
      </c>
    </row>
    <row r="32" spans="1:12" ht="40.15" customHeight="1" x14ac:dyDescent="0.25">
      <c r="B32" s="3"/>
      <c r="C32" s="3" t="s">
        <v>7</v>
      </c>
      <c r="D32" s="6">
        <v>1</v>
      </c>
      <c r="E32" s="7" t="s">
        <v>2</v>
      </c>
      <c r="F32" s="47">
        <v>2500000</v>
      </c>
      <c r="G32" s="8">
        <f t="shared" ref="G32:G36" si="5">F32*D32</f>
        <v>2500000</v>
      </c>
    </row>
    <row r="33" spans="2:8" ht="40.15" customHeight="1" x14ac:dyDescent="0.25">
      <c r="B33" s="3"/>
      <c r="C33" s="3" t="s">
        <v>8</v>
      </c>
      <c r="D33" s="6">
        <v>1</v>
      </c>
      <c r="E33" s="7" t="s">
        <v>2</v>
      </c>
      <c r="F33" s="47">
        <v>1400000</v>
      </c>
      <c r="G33" s="8">
        <f t="shared" si="5"/>
        <v>1400000</v>
      </c>
    </row>
    <row r="34" spans="2:8" ht="40.15" customHeight="1" x14ac:dyDescent="0.25">
      <c r="B34" s="3"/>
      <c r="C34" s="3" t="s">
        <v>9</v>
      </c>
      <c r="D34" s="6">
        <v>6</v>
      </c>
      <c r="E34" s="7" t="s">
        <v>2</v>
      </c>
      <c r="F34" s="48">
        <v>40000</v>
      </c>
      <c r="G34" s="8">
        <f t="shared" si="5"/>
        <v>240000</v>
      </c>
    </row>
    <row r="35" spans="2:8" ht="40.15" customHeight="1" x14ac:dyDescent="0.25">
      <c r="B35" s="3"/>
      <c r="C35" s="3" t="s">
        <v>10</v>
      </c>
      <c r="D35" s="6">
        <v>1</v>
      </c>
      <c r="E35" s="7" t="s">
        <v>2</v>
      </c>
      <c r="F35" s="48">
        <v>60000</v>
      </c>
      <c r="G35" s="8">
        <f t="shared" si="5"/>
        <v>60000</v>
      </c>
    </row>
    <row r="36" spans="2:8" ht="40.15" customHeight="1" x14ac:dyDescent="0.25">
      <c r="B36" s="3"/>
      <c r="C36" s="3" t="s">
        <v>11</v>
      </c>
      <c r="D36" s="6">
        <v>5</v>
      </c>
      <c r="E36" s="9" t="s">
        <v>12</v>
      </c>
      <c r="F36" s="47">
        <f>'S1'!D12</f>
        <v>450000</v>
      </c>
      <c r="G36" s="8">
        <f t="shared" si="5"/>
        <v>2250000</v>
      </c>
    </row>
    <row r="37" spans="2:8" ht="40.15" customHeight="1" x14ac:dyDescent="0.25">
      <c r="B37" s="10"/>
      <c r="C37" s="10"/>
      <c r="D37" s="197">
        <f>SUM(G25:G36)</f>
        <v>220355000</v>
      </c>
      <c r="E37" s="198"/>
      <c r="F37" s="198"/>
      <c r="G37" s="199"/>
    </row>
    <row r="39" spans="2:8" ht="21" x14ac:dyDescent="0.25">
      <c r="B39" s="1"/>
      <c r="C39" s="1"/>
      <c r="D39" s="200" t="s">
        <v>31</v>
      </c>
      <c r="E39" s="200"/>
      <c r="F39" s="200"/>
      <c r="G39" s="2"/>
    </row>
    <row r="40" spans="2:8" x14ac:dyDescent="0.25">
      <c r="B40" s="3" t="s">
        <v>42</v>
      </c>
      <c r="C40" s="40">
        <f>2+'S1'!F10</f>
        <v>2</v>
      </c>
      <c r="D40" s="4" t="s">
        <v>0</v>
      </c>
      <c r="E40" s="4" t="s">
        <v>1</v>
      </c>
      <c r="F40" s="5" t="s">
        <v>28</v>
      </c>
      <c r="G40" s="2"/>
    </row>
    <row r="41" spans="2:8" ht="40.15" customHeight="1" x14ac:dyDescent="0.25">
      <c r="B41" s="3"/>
      <c r="C41" s="37" t="s">
        <v>32</v>
      </c>
      <c r="D41" s="39">
        <f>C40*'S1'!D3</f>
        <v>0</v>
      </c>
      <c r="E41" s="7" t="s">
        <v>4</v>
      </c>
      <c r="F41" s="47">
        <f>H41*'S1'!D11</f>
        <v>13420000</v>
      </c>
      <c r="G41" s="8">
        <f t="shared" ref="G41:G43" si="6">F41*D41</f>
        <v>0</v>
      </c>
      <c r="H41">
        <v>6.1</v>
      </c>
    </row>
    <row r="42" spans="2:8" ht="40.15" customHeight="1" x14ac:dyDescent="0.25">
      <c r="B42" s="3"/>
      <c r="C42" s="3" t="s">
        <v>35</v>
      </c>
      <c r="D42" s="6">
        <f>(D41*2)+(C40*0.6)</f>
        <v>1.2</v>
      </c>
      <c r="E42" s="7" t="s">
        <v>2</v>
      </c>
      <c r="F42" s="47">
        <v>1800000</v>
      </c>
      <c r="G42" s="8">
        <f t="shared" si="6"/>
        <v>2160000</v>
      </c>
    </row>
    <row r="43" spans="2:8" ht="40.15" customHeight="1" x14ac:dyDescent="0.25">
      <c r="B43" s="3"/>
      <c r="C43" s="3" t="s">
        <v>36</v>
      </c>
      <c r="D43" s="6">
        <f>D41/0.25</f>
        <v>0</v>
      </c>
      <c r="E43" s="7" t="s">
        <v>4</v>
      </c>
      <c r="F43" s="47">
        <v>1200000</v>
      </c>
      <c r="G43" s="8">
        <f t="shared" si="6"/>
        <v>0</v>
      </c>
    </row>
    <row r="44" spans="2:8" ht="40.15" customHeight="1" x14ac:dyDescent="0.25">
      <c r="B44" s="3"/>
      <c r="C44" s="3" t="s">
        <v>38</v>
      </c>
      <c r="D44" s="6">
        <f>'S1'!D4*2</f>
        <v>0</v>
      </c>
      <c r="E44" s="7" t="s">
        <v>4</v>
      </c>
      <c r="F44" s="47">
        <v>2500000</v>
      </c>
      <c r="G44" s="8">
        <f t="shared" ref="G44:G45" si="7">F44*D44</f>
        <v>0</v>
      </c>
    </row>
    <row r="45" spans="2:8" ht="40.15" customHeight="1" x14ac:dyDescent="0.25">
      <c r="B45" s="3"/>
      <c r="C45" s="3" t="s">
        <v>39</v>
      </c>
      <c r="D45" s="39">
        <f>C40</f>
        <v>2</v>
      </c>
      <c r="E45" s="7" t="s">
        <v>2</v>
      </c>
      <c r="F45" s="48">
        <v>200000</v>
      </c>
      <c r="G45" s="8">
        <f t="shared" si="7"/>
        <v>400000</v>
      </c>
    </row>
    <row r="46" spans="2:8" ht="40.15" customHeight="1" x14ac:dyDescent="0.25">
      <c r="B46" s="3"/>
      <c r="C46" s="3" t="s">
        <v>40</v>
      </c>
      <c r="D46" s="6">
        <f>12*C40</f>
        <v>24</v>
      </c>
      <c r="E46" s="7" t="s">
        <v>2</v>
      </c>
      <c r="F46" s="48">
        <v>40000</v>
      </c>
      <c r="G46" s="8">
        <f t="shared" ref="G46:G48" si="8">F46*D46</f>
        <v>960000</v>
      </c>
    </row>
    <row r="47" spans="2:8" ht="40.15" customHeight="1" x14ac:dyDescent="0.25">
      <c r="B47" s="3"/>
      <c r="C47" s="3" t="s">
        <v>41</v>
      </c>
      <c r="D47" s="6">
        <f>D46</f>
        <v>24</v>
      </c>
      <c r="E47" s="7" t="s">
        <v>2</v>
      </c>
      <c r="F47" s="2">
        <v>60000</v>
      </c>
      <c r="G47" s="8">
        <f t="shared" si="8"/>
        <v>1440000</v>
      </c>
    </row>
    <row r="48" spans="2:8" ht="40.15" customHeight="1" x14ac:dyDescent="0.25">
      <c r="B48" s="3"/>
      <c r="C48" s="3" t="s">
        <v>11</v>
      </c>
      <c r="D48" s="6">
        <f>H41*D41</f>
        <v>0</v>
      </c>
      <c r="E48" s="9" t="s">
        <v>12</v>
      </c>
      <c r="F48" s="47">
        <f>'S1'!D12</f>
        <v>450000</v>
      </c>
      <c r="G48" s="8">
        <f t="shared" si="8"/>
        <v>0</v>
      </c>
    </row>
    <row r="49" spans="2:7" ht="40.15" customHeight="1" x14ac:dyDescent="0.25">
      <c r="B49" s="10"/>
      <c r="C49" s="10"/>
      <c r="D49" s="197">
        <f>SUM(G41:G48)</f>
        <v>4960000</v>
      </c>
      <c r="E49" s="198"/>
      <c r="F49" s="198"/>
      <c r="G49" s="199"/>
    </row>
    <row r="52" spans="2:7" ht="21" x14ac:dyDescent="0.25">
      <c r="B52" s="1"/>
      <c r="C52" s="1"/>
      <c r="D52" s="200" t="s">
        <v>43</v>
      </c>
      <c r="E52" s="200"/>
      <c r="F52" s="200"/>
      <c r="G52" s="2"/>
    </row>
    <row r="53" spans="2:7" x14ac:dyDescent="0.25">
      <c r="B53" s="3" t="s">
        <v>42</v>
      </c>
      <c r="C53" s="40">
        <f>2+'S1'!F10</f>
        <v>2</v>
      </c>
      <c r="D53" s="4" t="s">
        <v>0</v>
      </c>
      <c r="E53" s="4" t="s">
        <v>1</v>
      </c>
      <c r="F53" s="5" t="s">
        <v>28</v>
      </c>
      <c r="G53" s="2"/>
    </row>
    <row r="54" spans="2:7" ht="40.15" customHeight="1" x14ac:dyDescent="0.25">
      <c r="B54" s="3"/>
      <c r="C54" s="3" t="s">
        <v>44</v>
      </c>
      <c r="D54" s="39">
        <f>C53</f>
        <v>2</v>
      </c>
      <c r="E54" s="7" t="s">
        <v>2</v>
      </c>
      <c r="F54" s="47">
        <v>2100000</v>
      </c>
      <c r="G54" s="8">
        <f t="shared" ref="G54:G65" si="9">F54*D54</f>
        <v>4200000</v>
      </c>
    </row>
    <row r="55" spans="2:7" ht="40.15" customHeight="1" x14ac:dyDescent="0.25">
      <c r="B55" s="3"/>
      <c r="C55" s="3" t="s">
        <v>45</v>
      </c>
      <c r="D55" s="39">
        <f>C53</f>
        <v>2</v>
      </c>
      <c r="E55" s="7" t="s">
        <v>2</v>
      </c>
      <c r="F55" s="47">
        <v>1500000</v>
      </c>
      <c r="G55" s="8">
        <f t="shared" si="9"/>
        <v>3000000</v>
      </c>
    </row>
    <row r="56" spans="2:7" ht="40.15" customHeight="1" x14ac:dyDescent="0.25">
      <c r="B56" s="3"/>
      <c r="C56" s="3" t="s">
        <v>46</v>
      </c>
      <c r="D56" s="6">
        <f>2*C53</f>
        <v>4</v>
      </c>
      <c r="E56" s="7" t="s">
        <v>2</v>
      </c>
      <c r="F56" s="47">
        <v>250000</v>
      </c>
      <c r="G56" s="8">
        <f t="shared" ref="G56" si="10">F56*D56</f>
        <v>1000000</v>
      </c>
    </row>
    <row r="57" spans="2:7" ht="40.15" customHeight="1" x14ac:dyDescent="0.25">
      <c r="B57" s="3"/>
      <c r="C57" s="3" t="s">
        <v>50</v>
      </c>
      <c r="D57" s="6">
        <f>2*C53</f>
        <v>4</v>
      </c>
      <c r="E57" s="7" t="s">
        <v>2</v>
      </c>
      <c r="F57" s="2">
        <v>50000</v>
      </c>
      <c r="G57" s="8">
        <f t="shared" ref="G57" si="11">F57*D57</f>
        <v>200000</v>
      </c>
    </row>
    <row r="58" spans="2:7" ht="40.15" customHeight="1" x14ac:dyDescent="0.25">
      <c r="B58" s="3"/>
      <c r="C58" s="3" t="s">
        <v>27</v>
      </c>
      <c r="D58" s="39">
        <f>D54</f>
        <v>2</v>
      </c>
      <c r="E58" s="7" t="s">
        <v>4</v>
      </c>
      <c r="F58" s="47">
        <v>350000</v>
      </c>
      <c r="G58" s="8">
        <f t="shared" si="9"/>
        <v>700000</v>
      </c>
    </row>
    <row r="59" spans="2:7" ht="40.15" customHeight="1" x14ac:dyDescent="0.25">
      <c r="B59" s="3"/>
      <c r="C59" s="3" t="s">
        <v>29</v>
      </c>
      <c r="D59" s="6">
        <v>2</v>
      </c>
      <c r="E59" s="7" t="s">
        <v>2</v>
      </c>
      <c r="F59" s="47">
        <v>750000</v>
      </c>
      <c r="G59" s="8">
        <f t="shared" si="9"/>
        <v>1500000</v>
      </c>
    </row>
    <row r="60" spans="2:7" ht="40.15" customHeight="1" x14ac:dyDescent="0.25">
      <c r="B60" s="3"/>
      <c r="C60" s="3" t="s">
        <v>5</v>
      </c>
      <c r="D60" s="38">
        <f>0.25*C53</f>
        <v>0.5</v>
      </c>
      <c r="E60" s="7" t="s">
        <v>2</v>
      </c>
      <c r="F60" s="47">
        <v>7000000</v>
      </c>
      <c r="G60" s="8">
        <f t="shared" si="9"/>
        <v>3500000</v>
      </c>
    </row>
    <row r="61" spans="2:7" ht="40.15" customHeight="1" x14ac:dyDescent="0.25">
      <c r="B61" s="3"/>
      <c r="C61" s="3" t="s">
        <v>6</v>
      </c>
      <c r="D61" s="6">
        <v>2</v>
      </c>
      <c r="E61" s="7" t="s">
        <v>2</v>
      </c>
      <c r="F61" s="47">
        <v>850000</v>
      </c>
      <c r="G61" s="8">
        <f t="shared" si="9"/>
        <v>1700000</v>
      </c>
    </row>
    <row r="62" spans="2:7" ht="40.15" customHeight="1" x14ac:dyDescent="0.25">
      <c r="B62" s="3"/>
      <c r="C62" s="3" t="s">
        <v>48</v>
      </c>
      <c r="D62" s="6">
        <f>D58*2</f>
        <v>4</v>
      </c>
      <c r="E62" s="7" t="s">
        <v>2</v>
      </c>
      <c r="F62" s="2">
        <v>60000</v>
      </c>
      <c r="G62" s="8">
        <f t="shared" si="9"/>
        <v>240000</v>
      </c>
    </row>
    <row r="63" spans="2:7" ht="40.15" customHeight="1" x14ac:dyDescent="0.25">
      <c r="B63" s="3"/>
      <c r="C63" s="3" t="s">
        <v>49</v>
      </c>
      <c r="D63" s="6">
        <f>4*C53</f>
        <v>8</v>
      </c>
      <c r="E63" s="7" t="s">
        <v>2</v>
      </c>
      <c r="F63" s="2">
        <v>60000</v>
      </c>
      <c r="G63" s="8">
        <f t="shared" si="9"/>
        <v>480000</v>
      </c>
    </row>
    <row r="64" spans="2:7" ht="40.15" customHeight="1" x14ac:dyDescent="0.25">
      <c r="B64" s="3"/>
      <c r="C64" s="3" t="s">
        <v>47</v>
      </c>
      <c r="D64" s="39">
        <f>C53</f>
        <v>2</v>
      </c>
      <c r="E64" s="7" t="s">
        <v>2</v>
      </c>
      <c r="F64" s="2">
        <v>350000</v>
      </c>
      <c r="G64" s="8">
        <f t="shared" ref="G64" si="12">F64*D64</f>
        <v>700000</v>
      </c>
    </row>
    <row r="65" spans="2:7" ht="40.15" customHeight="1" x14ac:dyDescent="0.25">
      <c r="B65" s="3"/>
      <c r="C65" s="3" t="s">
        <v>11</v>
      </c>
      <c r="D65" s="6">
        <f>4*C53</f>
        <v>8</v>
      </c>
      <c r="E65" s="9" t="s">
        <v>12</v>
      </c>
      <c r="F65" s="47">
        <f>'S1'!D12</f>
        <v>450000</v>
      </c>
      <c r="G65" s="8">
        <f t="shared" si="9"/>
        <v>3600000</v>
      </c>
    </row>
    <row r="66" spans="2:7" ht="40.15" customHeight="1" x14ac:dyDescent="0.25">
      <c r="B66" s="10"/>
      <c r="C66" s="10"/>
      <c r="D66" s="197">
        <f>SUM(G54:G65)</f>
        <v>20820000</v>
      </c>
      <c r="E66" s="198"/>
      <c r="F66" s="198"/>
      <c r="G66" s="199"/>
    </row>
    <row r="69" spans="2:7" ht="21" x14ac:dyDescent="0.25">
      <c r="B69" s="1"/>
      <c r="C69" s="1"/>
      <c r="D69" s="200" t="s">
        <v>51</v>
      </c>
      <c r="E69" s="200"/>
      <c r="F69" s="200"/>
      <c r="G69" s="2"/>
    </row>
    <row r="70" spans="2:7" x14ac:dyDescent="0.25">
      <c r="B70" s="3" t="s">
        <v>42</v>
      </c>
      <c r="C70" s="40">
        <f>2+'S1'!F10</f>
        <v>2</v>
      </c>
      <c r="D70" s="4" t="s">
        <v>0</v>
      </c>
      <c r="E70" s="4" t="s">
        <v>1</v>
      </c>
      <c r="F70" s="5" t="s">
        <v>28</v>
      </c>
      <c r="G70" s="2"/>
    </row>
    <row r="71" spans="2:7" ht="40.15" customHeight="1" x14ac:dyDescent="0.25">
      <c r="B71" s="3"/>
      <c r="C71" s="3" t="s">
        <v>44</v>
      </c>
      <c r="D71" s="39">
        <f>C70</f>
        <v>2</v>
      </c>
      <c r="E71" s="7" t="s">
        <v>2</v>
      </c>
      <c r="F71" s="47">
        <v>3500000</v>
      </c>
      <c r="G71" s="8">
        <f t="shared" ref="G71:G77" si="13">F71*D71</f>
        <v>7000000</v>
      </c>
    </row>
    <row r="72" spans="2:7" ht="40.15" customHeight="1" x14ac:dyDescent="0.25">
      <c r="B72" s="3"/>
      <c r="C72" s="3" t="s">
        <v>52</v>
      </c>
      <c r="D72" s="39">
        <f>C70</f>
        <v>2</v>
      </c>
      <c r="E72" s="7" t="s">
        <v>2</v>
      </c>
      <c r="F72" s="47">
        <v>1300000</v>
      </c>
      <c r="G72" s="8">
        <f t="shared" si="13"/>
        <v>2600000</v>
      </c>
    </row>
    <row r="73" spans="2:7" ht="40.15" customHeight="1" x14ac:dyDescent="0.25">
      <c r="B73" s="3"/>
      <c r="C73" s="3" t="s">
        <v>53</v>
      </c>
      <c r="D73" s="39">
        <f>C70</f>
        <v>2</v>
      </c>
      <c r="E73" s="7" t="s">
        <v>2</v>
      </c>
      <c r="F73" s="47">
        <v>470000</v>
      </c>
      <c r="G73" s="8">
        <f t="shared" si="13"/>
        <v>940000</v>
      </c>
    </row>
    <row r="74" spans="2:7" ht="40.15" customHeight="1" x14ac:dyDescent="0.25">
      <c r="B74" s="3"/>
      <c r="C74" s="3" t="s">
        <v>54</v>
      </c>
      <c r="D74" s="6">
        <f>2*C70</f>
        <v>4</v>
      </c>
      <c r="E74" s="7" t="s">
        <v>2</v>
      </c>
      <c r="F74" s="2">
        <v>50000</v>
      </c>
      <c r="G74" s="8">
        <f t="shared" si="13"/>
        <v>200000</v>
      </c>
    </row>
    <row r="75" spans="2:7" ht="40.15" customHeight="1" x14ac:dyDescent="0.25">
      <c r="B75" s="3"/>
      <c r="C75" s="3" t="s">
        <v>55</v>
      </c>
      <c r="D75" s="39">
        <f>D72</f>
        <v>2</v>
      </c>
      <c r="E75" s="7" t="s">
        <v>2</v>
      </c>
      <c r="F75" s="2">
        <v>60000</v>
      </c>
      <c r="G75" s="8">
        <f t="shared" si="13"/>
        <v>120000</v>
      </c>
    </row>
    <row r="76" spans="2:7" ht="40.15" customHeight="1" x14ac:dyDescent="0.25">
      <c r="B76" s="3"/>
      <c r="C76" s="3" t="s">
        <v>47</v>
      </c>
      <c r="D76" s="39">
        <f>C70</f>
        <v>2</v>
      </c>
      <c r="E76" s="7" t="s">
        <v>2</v>
      </c>
      <c r="F76" s="2">
        <v>350000</v>
      </c>
      <c r="G76" s="8">
        <f t="shared" si="13"/>
        <v>700000</v>
      </c>
    </row>
    <row r="77" spans="2:7" ht="40.15" customHeight="1" x14ac:dyDescent="0.25">
      <c r="B77" s="3"/>
      <c r="C77" s="3" t="s">
        <v>11</v>
      </c>
      <c r="D77" s="6">
        <f>4*C70</f>
        <v>8</v>
      </c>
      <c r="E77" s="9" t="s">
        <v>12</v>
      </c>
      <c r="F77" s="47">
        <f>'S1'!D12</f>
        <v>450000</v>
      </c>
      <c r="G77" s="8">
        <f t="shared" si="13"/>
        <v>3600000</v>
      </c>
    </row>
    <row r="78" spans="2:7" ht="40.15" customHeight="1" x14ac:dyDescent="0.25">
      <c r="B78" s="10"/>
      <c r="C78" s="10"/>
      <c r="D78" s="197">
        <f>SUM(G71:G77)</f>
        <v>15160000</v>
      </c>
      <c r="E78" s="198"/>
      <c r="F78" s="198"/>
      <c r="G78" s="199"/>
    </row>
    <row r="81" spans="2:8" ht="21" x14ac:dyDescent="0.25">
      <c r="B81" s="1"/>
      <c r="C81" s="1"/>
      <c r="D81" s="200" t="s">
        <v>56</v>
      </c>
      <c r="E81" s="200"/>
      <c r="F81" s="200"/>
      <c r="G81" s="2"/>
    </row>
    <row r="82" spans="2:8" x14ac:dyDescent="0.25">
      <c r="B82" s="3" t="s">
        <v>59</v>
      </c>
      <c r="C82" s="40">
        <f>'S1'!D3/0.25</f>
        <v>0</v>
      </c>
      <c r="D82" s="4" t="s">
        <v>0</v>
      </c>
      <c r="E82" s="4" t="s">
        <v>1</v>
      </c>
      <c r="F82" s="5" t="s">
        <v>28</v>
      </c>
      <c r="G82" s="2"/>
    </row>
    <row r="83" spans="2:8" ht="40.15" customHeight="1" x14ac:dyDescent="0.25">
      <c r="B83" s="3"/>
      <c r="C83" s="3" t="s">
        <v>57</v>
      </c>
      <c r="D83" s="39">
        <f>(C82*'S1'!D4)</f>
        <v>0</v>
      </c>
      <c r="E83" s="7" t="s">
        <v>2</v>
      </c>
      <c r="F83" s="47">
        <f>H83*'S1'!$D$11</f>
        <v>7194000</v>
      </c>
      <c r="G83" s="8">
        <f t="shared" ref="G83:G89" si="14">F83*D83</f>
        <v>0</v>
      </c>
      <c r="H83">
        <v>3.27</v>
      </c>
    </row>
    <row r="84" spans="2:8" ht="40.15" customHeight="1" x14ac:dyDescent="0.25">
      <c r="B84" s="3"/>
      <c r="C84" s="3" t="s">
        <v>58</v>
      </c>
      <c r="D84" s="39">
        <f>C82*2</f>
        <v>0</v>
      </c>
      <c r="E84" s="7" t="s">
        <v>2</v>
      </c>
      <c r="F84" s="47">
        <v>450000</v>
      </c>
      <c r="G84" s="8">
        <f t="shared" si="14"/>
        <v>0</v>
      </c>
    </row>
    <row r="85" spans="2:8" ht="40.15" customHeight="1" x14ac:dyDescent="0.25">
      <c r="B85" s="3"/>
      <c r="C85" s="3" t="s">
        <v>60</v>
      </c>
      <c r="D85" s="39">
        <f>D43</f>
        <v>0</v>
      </c>
      <c r="E85" s="7" t="s">
        <v>2</v>
      </c>
      <c r="F85" s="47">
        <v>550000</v>
      </c>
      <c r="G85" s="8">
        <f t="shared" si="14"/>
        <v>0</v>
      </c>
    </row>
    <row r="86" spans="2:8" ht="40.15" customHeight="1" x14ac:dyDescent="0.25">
      <c r="B86" s="3"/>
      <c r="C86" s="3" t="s">
        <v>61</v>
      </c>
      <c r="D86" s="6">
        <f>'S1'!D3*2</f>
        <v>0</v>
      </c>
      <c r="E86" s="7" t="s">
        <v>4</v>
      </c>
      <c r="F86" s="47">
        <f>H86*'S1'!D11</f>
        <v>2860000</v>
      </c>
      <c r="G86" s="8">
        <f t="shared" si="14"/>
        <v>0</v>
      </c>
      <c r="H86">
        <v>1.3</v>
      </c>
    </row>
    <row r="87" spans="2:8" ht="40.15" customHeight="1" x14ac:dyDescent="0.25">
      <c r="B87" s="3"/>
      <c r="C87" s="3" t="s">
        <v>62</v>
      </c>
      <c r="D87" s="39">
        <v>6</v>
      </c>
      <c r="E87" s="7" t="s">
        <v>2</v>
      </c>
      <c r="F87" s="47">
        <v>1200000</v>
      </c>
      <c r="G87" s="8">
        <f t="shared" si="14"/>
        <v>7200000</v>
      </c>
    </row>
    <row r="88" spans="2:8" ht="40.15" customHeight="1" x14ac:dyDescent="0.25">
      <c r="B88" s="3"/>
      <c r="C88" s="3" t="s">
        <v>63</v>
      </c>
      <c r="D88" s="39">
        <f>D87</f>
        <v>6</v>
      </c>
      <c r="E88" s="7" t="s">
        <v>2</v>
      </c>
      <c r="F88" s="47">
        <v>350000</v>
      </c>
      <c r="G88" s="8">
        <f t="shared" si="14"/>
        <v>2100000</v>
      </c>
    </row>
    <row r="89" spans="2:8" ht="40.15" customHeight="1" x14ac:dyDescent="0.25">
      <c r="B89" s="3"/>
      <c r="C89" s="3" t="s">
        <v>53</v>
      </c>
      <c r="D89" s="39">
        <f>D87</f>
        <v>6</v>
      </c>
      <c r="E89" s="7" t="s">
        <v>2</v>
      </c>
      <c r="F89" s="47">
        <v>470000</v>
      </c>
      <c r="G89" s="8">
        <f t="shared" si="14"/>
        <v>2820000</v>
      </c>
    </row>
    <row r="90" spans="2:8" ht="40.15" customHeight="1" x14ac:dyDescent="0.25">
      <c r="B90" s="3"/>
      <c r="C90" s="3" t="s">
        <v>64</v>
      </c>
      <c r="D90" s="39">
        <v>2</v>
      </c>
      <c r="E90" s="7" t="s">
        <v>2</v>
      </c>
      <c r="F90" s="47">
        <v>90000000</v>
      </c>
      <c r="G90" s="8">
        <f t="shared" ref="G90:G91" si="15">F90*D90</f>
        <v>180000000</v>
      </c>
    </row>
    <row r="91" spans="2:8" ht="40.15" customHeight="1" x14ac:dyDescent="0.25">
      <c r="B91" s="3"/>
      <c r="C91" s="3" t="s">
        <v>11</v>
      </c>
      <c r="D91" s="6">
        <f>((H83*D83)+(H86*D86))</f>
        <v>0</v>
      </c>
      <c r="E91" s="9" t="s">
        <v>12</v>
      </c>
      <c r="F91" s="47">
        <f>'S1'!D12</f>
        <v>450000</v>
      </c>
      <c r="G91" s="8">
        <f t="shared" si="15"/>
        <v>0</v>
      </c>
    </row>
    <row r="92" spans="2:8" ht="40.15" customHeight="1" x14ac:dyDescent="0.25">
      <c r="B92" s="10"/>
      <c r="C92" s="10"/>
      <c r="D92" s="197">
        <f>SUM(G83:G91)</f>
        <v>192120000</v>
      </c>
      <c r="E92" s="198"/>
      <c r="F92" s="198"/>
      <c r="G92" s="199"/>
    </row>
    <row r="95" spans="2:8" ht="21" x14ac:dyDescent="0.25">
      <c r="B95" s="1"/>
      <c r="C95" s="1"/>
      <c r="D95" s="200" t="s">
        <v>65</v>
      </c>
      <c r="E95" s="200"/>
      <c r="F95" s="200"/>
      <c r="G95" s="2"/>
    </row>
    <row r="96" spans="2:8" x14ac:dyDescent="0.25">
      <c r="B96" s="3" t="s">
        <v>42</v>
      </c>
      <c r="C96" s="40">
        <f>C40</f>
        <v>2</v>
      </c>
      <c r="D96" s="4" t="s">
        <v>0</v>
      </c>
      <c r="E96" s="4" t="s">
        <v>1</v>
      </c>
      <c r="F96" s="5" t="s">
        <v>28</v>
      </c>
      <c r="G96" s="2"/>
    </row>
    <row r="97" spans="2:9" ht="40.15" customHeight="1" x14ac:dyDescent="0.25">
      <c r="B97" s="3"/>
      <c r="C97" s="3" t="s">
        <v>66</v>
      </c>
      <c r="D97" s="39">
        <f>C96*2*2.75</f>
        <v>11</v>
      </c>
      <c r="E97" s="7" t="s">
        <v>4</v>
      </c>
      <c r="F97" s="47">
        <f>H97*'S1'!$D$11</f>
        <v>9350000</v>
      </c>
      <c r="G97" s="8">
        <f t="shared" ref="G97:G105" si="16">F97*D97</f>
        <v>102850000</v>
      </c>
      <c r="H97">
        <v>4.25</v>
      </c>
      <c r="I97" s="100">
        <f>H97*D97</f>
        <v>46.75</v>
      </c>
    </row>
    <row r="98" spans="2:9" ht="40.15" customHeight="1" x14ac:dyDescent="0.25">
      <c r="B98" s="3"/>
      <c r="C98" s="3" t="s">
        <v>67</v>
      </c>
      <c r="D98" s="39">
        <f>('S1'!D3+'S1'!D4)*2</f>
        <v>0</v>
      </c>
      <c r="E98" s="7" t="s">
        <v>4</v>
      </c>
      <c r="F98" s="47">
        <f>H98*'S1'!$D$11</f>
        <v>8910000</v>
      </c>
      <c r="G98" s="8">
        <f t="shared" si="16"/>
        <v>0</v>
      </c>
      <c r="H98">
        <v>4.05</v>
      </c>
      <c r="I98" s="100">
        <f t="shared" ref="I98:I100" si="17">H98*D98</f>
        <v>0</v>
      </c>
    </row>
    <row r="99" spans="2:9" ht="40.15" customHeight="1" x14ac:dyDescent="0.25">
      <c r="B99" s="3"/>
      <c r="C99" s="3" t="s">
        <v>68</v>
      </c>
      <c r="D99" s="39">
        <f>D98</f>
        <v>0</v>
      </c>
      <c r="E99" s="7" t="s">
        <v>4</v>
      </c>
      <c r="F99" s="47">
        <f>H99*'S1'!$D$11</f>
        <v>2919400</v>
      </c>
      <c r="G99" s="8">
        <f t="shared" si="16"/>
        <v>0</v>
      </c>
      <c r="H99">
        <v>1.327</v>
      </c>
      <c r="I99" s="100">
        <f t="shared" si="17"/>
        <v>0</v>
      </c>
    </row>
    <row r="100" spans="2:9" ht="40.15" customHeight="1" x14ac:dyDescent="0.25">
      <c r="B100" s="3"/>
      <c r="C100" s="3" t="s">
        <v>69</v>
      </c>
      <c r="D100" s="38">
        <f>'S1'!D4*2</f>
        <v>0</v>
      </c>
      <c r="E100" s="7" t="s">
        <v>4</v>
      </c>
      <c r="F100" s="47">
        <f>H100*'S1'!$D$11</f>
        <v>3432000</v>
      </c>
      <c r="G100" s="8">
        <f t="shared" ref="G100" si="18">F100*D100</f>
        <v>0</v>
      </c>
      <c r="H100">
        <v>1.56</v>
      </c>
      <c r="I100" s="100">
        <f t="shared" si="17"/>
        <v>0</v>
      </c>
    </row>
    <row r="101" spans="2:9" ht="40.15" customHeight="1" x14ac:dyDescent="0.25">
      <c r="B101" s="3"/>
      <c r="C101" s="3" t="s">
        <v>70</v>
      </c>
      <c r="D101" s="39">
        <v>6</v>
      </c>
      <c r="E101" s="7" t="s">
        <v>2</v>
      </c>
      <c r="F101" s="47">
        <v>1200000</v>
      </c>
      <c r="G101" s="8">
        <f t="shared" si="16"/>
        <v>7200000</v>
      </c>
    </row>
    <row r="102" spans="2:9" ht="40.15" customHeight="1" x14ac:dyDescent="0.25">
      <c r="B102" s="3"/>
      <c r="C102" s="3" t="s">
        <v>71</v>
      </c>
      <c r="D102" s="39">
        <f>C96*2</f>
        <v>4</v>
      </c>
      <c r="E102" s="7" t="s">
        <v>2</v>
      </c>
      <c r="F102" s="47">
        <v>8000000</v>
      </c>
      <c r="G102" s="8">
        <f t="shared" ref="G102" si="19">F102*D102</f>
        <v>32000000</v>
      </c>
    </row>
    <row r="103" spans="2:9" ht="40.15" customHeight="1" x14ac:dyDescent="0.25">
      <c r="B103" s="3"/>
      <c r="C103" s="3" t="s">
        <v>72</v>
      </c>
      <c r="D103" s="39">
        <f>D102</f>
        <v>4</v>
      </c>
      <c r="E103" s="7" t="s">
        <v>2</v>
      </c>
      <c r="F103" s="47">
        <v>4800000</v>
      </c>
      <c r="G103" s="8">
        <f>F103*D103</f>
        <v>19200000</v>
      </c>
    </row>
    <row r="104" spans="2:9" ht="40.15" customHeight="1" x14ac:dyDescent="0.25">
      <c r="B104" s="3"/>
      <c r="C104" s="3" t="s">
        <v>73</v>
      </c>
      <c r="D104" s="39">
        <f>C96*2</f>
        <v>4</v>
      </c>
      <c r="E104" s="7" t="s">
        <v>4</v>
      </c>
      <c r="F104" s="47">
        <v>3700000</v>
      </c>
      <c r="G104" s="8">
        <f>F104*D104</f>
        <v>14800000</v>
      </c>
    </row>
    <row r="105" spans="2:9" ht="40.15" customHeight="1" x14ac:dyDescent="0.25">
      <c r="B105" s="3"/>
      <c r="C105" s="3" t="s">
        <v>11</v>
      </c>
      <c r="D105" s="6">
        <f>((H97*D97)+(H98*D98)+(H99*D99)+(H100*D100))</f>
        <v>46.75</v>
      </c>
      <c r="E105" s="9" t="s">
        <v>12</v>
      </c>
      <c r="F105" s="47">
        <f>'S1'!D12</f>
        <v>450000</v>
      </c>
      <c r="G105" s="8">
        <f t="shared" si="16"/>
        <v>21037500</v>
      </c>
    </row>
    <row r="106" spans="2:9" ht="40.15" customHeight="1" x14ac:dyDescent="0.25">
      <c r="B106" s="10"/>
      <c r="C106" s="10"/>
      <c r="D106" s="197">
        <f>SUM(G97:G105)</f>
        <v>197087500</v>
      </c>
      <c r="E106" s="198"/>
      <c r="F106" s="198"/>
      <c r="G106" s="199"/>
    </row>
    <row r="109" spans="2:9" ht="21" x14ac:dyDescent="0.25">
      <c r="B109" s="10"/>
      <c r="C109" s="10"/>
      <c r="D109" s="197">
        <f>D106-G97-G104-(0.4*G105)</f>
        <v>71022500</v>
      </c>
      <c r="E109" s="198"/>
      <c r="F109" s="198"/>
      <c r="G109" s="199"/>
    </row>
  </sheetData>
  <mergeCells count="36">
    <mergeCell ref="D15:F15"/>
    <mergeCell ref="H2:I2"/>
    <mergeCell ref="H4:I4"/>
    <mergeCell ref="H3:I3"/>
    <mergeCell ref="K19:K21"/>
    <mergeCell ref="H18:I18"/>
    <mergeCell ref="K15:K17"/>
    <mergeCell ref="H8:J8"/>
    <mergeCell ref="D109:G109"/>
    <mergeCell ref="D92:G92"/>
    <mergeCell ref="D95:F95"/>
    <mergeCell ref="D23:F23"/>
    <mergeCell ref="D37:G37"/>
    <mergeCell ref="D39:F39"/>
    <mergeCell ref="D49:G49"/>
    <mergeCell ref="D52:F52"/>
    <mergeCell ref="D106:G106"/>
    <mergeCell ref="D66:G66"/>
    <mergeCell ref="D69:F69"/>
    <mergeCell ref="D78:G78"/>
    <mergeCell ref="D81:F81"/>
    <mergeCell ref="B2:B5"/>
    <mergeCell ref="B6:B9"/>
    <mergeCell ref="B10:B13"/>
    <mergeCell ref="D7:E7"/>
    <mergeCell ref="D8:E8"/>
    <mergeCell ref="D9:E9"/>
    <mergeCell ref="D5:E5"/>
    <mergeCell ref="D4:E4"/>
    <mergeCell ref="D10:E10"/>
    <mergeCell ref="D11:E11"/>
    <mergeCell ref="D12:E12"/>
    <mergeCell ref="D13:E13"/>
    <mergeCell ref="D6:E6"/>
    <mergeCell ref="D3:E3"/>
    <mergeCell ref="D2:E2"/>
  </mergeCells>
  <pageMargins left="0.7" right="0.7" top="0.75" bottom="0.75" header="0.3" footer="0.3"/>
  <pageSetup orientation="portrait" horizontalDpi="1200" verticalDpi="1200" r:id="rId1"/>
  <drawing r:id="rId2"/>
  <legacyDrawing r:id="rId3"/>
  <oleObjects>
    <mc:AlternateContent xmlns:mc="http://schemas.openxmlformats.org/markup-compatibility/2006">
      <mc:Choice Requires="x14">
        <oleObject progId="AutoCAD.Drawing.24" shapeId="1025" r:id="rId4">
          <objectPr defaultSize="0" autoPict="0" r:id="rId5">
            <anchor moveWithCells="1" sizeWithCells="1">
              <from>
                <xdr:col>1</xdr:col>
                <xdr:colOff>247650</xdr:colOff>
                <xdr:row>24</xdr:row>
                <xdr:rowOff>47625</xdr:rowOff>
              </from>
              <to>
                <xdr:col>1</xdr:col>
                <xdr:colOff>1485900</xdr:colOff>
                <xdr:row>24</xdr:row>
                <xdr:rowOff>476250</xdr:rowOff>
              </to>
            </anchor>
          </objectPr>
        </oleObject>
      </mc:Choice>
      <mc:Fallback>
        <oleObject progId="AutoCAD.Drawing.24" shapeId="1025" r:id="rId4"/>
      </mc:Fallback>
    </mc:AlternateContent>
    <mc:AlternateContent xmlns:mc="http://schemas.openxmlformats.org/markup-compatibility/2006">
      <mc:Choice Requires="x14">
        <oleObject progId="AutoCAD.Drawing.24" shapeId="1041" r:id="rId6">
          <objectPr defaultSize="0" autoPict="0" r:id="rId7">
            <anchor moveWithCells="1" sizeWithCells="1">
              <from>
                <xdr:col>1</xdr:col>
                <xdr:colOff>742950</xdr:colOff>
                <xdr:row>39</xdr:row>
                <xdr:rowOff>171450</xdr:rowOff>
              </from>
              <to>
                <xdr:col>1</xdr:col>
                <xdr:colOff>1047750</xdr:colOff>
                <xdr:row>40</xdr:row>
                <xdr:rowOff>504825</xdr:rowOff>
              </to>
            </anchor>
          </objectPr>
        </oleObject>
      </mc:Choice>
      <mc:Fallback>
        <oleObject progId="AutoCAD.Drawing.24" shapeId="1041" r:id="rId6"/>
      </mc:Fallback>
    </mc:AlternateContent>
    <mc:AlternateContent xmlns:mc="http://schemas.openxmlformats.org/markup-compatibility/2006">
      <mc:Choice Requires="x14">
        <oleObject progId="AutoCAD.Drawing.24" shapeId="1042" r:id="rId8">
          <objectPr defaultSize="0" autoPict="0" r:id="rId9">
            <anchor moveWithCells="1" sizeWithCells="1">
              <from>
                <xdr:col>1</xdr:col>
                <xdr:colOff>704850</xdr:colOff>
                <xdr:row>42</xdr:row>
                <xdr:rowOff>38100</xdr:rowOff>
              </from>
              <to>
                <xdr:col>1</xdr:col>
                <xdr:colOff>1104900</xdr:colOff>
                <xdr:row>42</xdr:row>
                <xdr:rowOff>504825</xdr:rowOff>
              </to>
            </anchor>
          </objectPr>
        </oleObject>
      </mc:Choice>
      <mc:Fallback>
        <oleObject progId="AutoCAD.Drawing.24" shapeId="1042" r:id="rId8"/>
      </mc:Fallback>
    </mc:AlternateContent>
    <mc:AlternateContent xmlns:mc="http://schemas.openxmlformats.org/markup-compatibility/2006">
      <mc:Choice Requires="x14">
        <oleObject progId="AutoCAD.Drawing.24" shapeId="1026" r:id="rId10">
          <objectPr defaultSize="0" autoPict="0" r:id="rId11">
            <anchor moveWithCells="1" sizeWithCells="1">
              <from>
                <xdr:col>1</xdr:col>
                <xdr:colOff>609600</xdr:colOff>
                <xdr:row>27</xdr:row>
                <xdr:rowOff>95250</xdr:rowOff>
              </from>
              <to>
                <xdr:col>1</xdr:col>
                <xdr:colOff>1143000</xdr:colOff>
                <xdr:row>27</xdr:row>
                <xdr:rowOff>438150</xdr:rowOff>
              </to>
            </anchor>
          </objectPr>
        </oleObject>
      </mc:Choice>
      <mc:Fallback>
        <oleObject progId="AutoCAD.Drawing.24" shapeId="1026" r:id="rId10"/>
      </mc:Fallback>
    </mc:AlternateContent>
    <mc:AlternateContent xmlns:mc="http://schemas.openxmlformats.org/markup-compatibility/2006">
      <mc:Choice Requires="x14">
        <oleObject progId="AutoCAD.Drawing.24" shapeId="1027" r:id="rId12">
          <objectPr defaultSize="0" autoPict="0" r:id="rId13">
            <anchor moveWithCells="1" sizeWithCells="1">
              <from>
                <xdr:col>1</xdr:col>
                <xdr:colOff>628650</xdr:colOff>
                <xdr:row>29</xdr:row>
                <xdr:rowOff>57150</xdr:rowOff>
              </from>
              <to>
                <xdr:col>1</xdr:col>
                <xdr:colOff>1123950</xdr:colOff>
                <xdr:row>29</xdr:row>
                <xdr:rowOff>438150</xdr:rowOff>
              </to>
            </anchor>
          </objectPr>
        </oleObject>
      </mc:Choice>
      <mc:Fallback>
        <oleObject progId="AutoCAD.Drawing.24" shapeId="1027" r:id="rId12"/>
      </mc:Fallback>
    </mc:AlternateContent>
    <mc:AlternateContent xmlns:mc="http://schemas.openxmlformats.org/markup-compatibility/2006">
      <mc:Choice Requires="x14">
        <oleObject progId="AutoCAD.Drawing.24" shapeId="1028" r:id="rId14">
          <objectPr defaultSize="0" autoPict="0" r:id="rId15">
            <anchor moveWithCells="1" sizeWithCells="1">
              <from>
                <xdr:col>1</xdr:col>
                <xdr:colOff>628650</xdr:colOff>
                <xdr:row>30</xdr:row>
                <xdr:rowOff>28575</xdr:rowOff>
              </from>
              <to>
                <xdr:col>1</xdr:col>
                <xdr:colOff>1047750</xdr:colOff>
                <xdr:row>30</xdr:row>
                <xdr:rowOff>476250</xdr:rowOff>
              </to>
            </anchor>
          </objectPr>
        </oleObject>
      </mc:Choice>
      <mc:Fallback>
        <oleObject progId="AutoCAD.Drawing.24" shapeId="1028" r:id="rId14"/>
      </mc:Fallback>
    </mc:AlternateContent>
    <mc:AlternateContent xmlns:mc="http://schemas.openxmlformats.org/markup-compatibility/2006">
      <mc:Choice Requires="x14">
        <oleObject progId="AutoCAD.Drawing.24" shapeId="1045" r:id="rId16">
          <objectPr defaultSize="0" autoPict="0" r:id="rId17">
            <anchor moveWithCells="1" sizeWithCells="1">
              <from>
                <xdr:col>1</xdr:col>
                <xdr:colOff>704850</xdr:colOff>
                <xdr:row>52</xdr:row>
                <xdr:rowOff>180975</xdr:rowOff>
              </from>
              <to>
                <xdr:col>1</xdr:col>
                <xdr:colOff>1066800</xdr:colOff>
                <xdr:row>54</xdr:row>
                <xdr:rowOff>57150</xdr:rowOff>
              </to>
            </anchor>
          </objectPr>
        </oleObject>
      </mc:Choice>
      <mc:Fallback>
        <oleObject progId="AutoCAD.Drawing.24" shapeId="1045" r:id="rId16"/>
      </mc:Fallback>
    </mc:AlternateContent>
    <mc:AlternateContent xmlns:mc="http://schemas.openxmlformats.org/markup-compatibility/2006">
      <mc:Choice Requires="x14">
        <oleObject progId="AutoCAD.Drawing.24" shapeId="1046" r:id="rId18">
          <objectPr defaultSize="0" autoPict="0" r:id="rId19">
            <anchor moveWithCells="1" sizeWithCells="1">
              <from>
                <xdr:col>1</xdr:col>
                <xdr:colOff>647700</xdr:colOff>
                <xdr:row>54</xdr:row>
                <xdr:rowOff>66675</xdr:rowOff>
              </from>
              <to>
                <xdr:col>1</xdr:col>
                <xdr:colOff>1038225</xdr:colOff>
                <xdr:row>54</xdr:row>
                <xdr:rowOff>485775</xdr:rowOff>
              </to>
            </anchor>
          </objectPr>
        </oleObject>
      </mc:Choice>
      <mc:Fallback>
        <oleObject progId="AutoCAD.Drawing.24" shapeId="1046" r:id="rId18"/>
      </mc:Fallback>
    </mc:AlternateContent>
    <mc:AlternateContent xmlns:mc="http://schemas.openxmlformats.org/markup-compatibility/2006">
      <mc:Choice Requires="x14">
        <oleObject progId="AutoCAD.Drawing.24" shapeId="1047" r:id="rId20">
          <objectPr defaultSize="0" autoPict="0" r:id="rId11">
            <anchor moveWithCells="1" sizeWithCells="1">
              <from>
                <xdr:col>1</xdr:col>
                <xdr:colOff>609600</xdr:colOff>
                <xdr:row>57</xdr:row>
                <xdr:rowOff>95250</xdr:rowOff>
              </from>
              <to>
                <xdr:col>1</xdr:col>
                <xdr:colOff>1143000</xdr:colOff>
                <xdr:row>57</xdr:row>
                <xdr:rowOff>438150</xdr:rowOff>
              </to>
            </anchor>
          </objectPr>
        </oleObject>
      </mc:Choice>
      <mc:Fallback>
        <oleObject progId="AutoCAD.Drawing.24" shapeId="1047" r:id="rId20"/>
      </mc:Fallback>
    </mc:AlternateContent>
    <mc:AlternateContent xmlns:mc="http://schemas.openxmlformats.org/markup-compatibility/2006">
      <mc:Choice Requires="x14">
        <oleObject progId="AutoCAD.Drawing.24" shapeId="1048" r:id="rId21">
          <objectPr defaultSize="0" autoPict="0" r:id="rId13">
            <anchor moveWithCells="1" sizeWithCells="1">
              <from>
                <xdr:col>1</xdr:col>
                <xdr:colOff>628650</xdr:colOff>
                <xdr:row>58</xdr:row>
                <xdr:rowOff>57150</xdr:rowOff>
              </from>
              <to>
                <xdr:col>1</xdr:col>
                <xdr:colOff>1123950</xdr:colOff>
                <xdr:row>58</xdr:row>
                <xdr:rowOff>438150</xdr:rowOff>
              </to>
            </anchor>
          </objectPr>
        </oleObject>
      </mc:Choice>
      <mc:Fallback>
        <oleObject progId="AutoCAD.Drawing.24" shapeId="1048" r:id="rId21"/>
      </mc:Fallback>
    </mc:AlternateContent>
    <mc:AlternateContent xmlns:mc="http://schemas.openxmlformats.org/markup-compatibility/2006">
      <mc:Choice Requires="x14">
        <oleObject progId="AutoCAD.Drawing.24" shapeId="1049" r:id="rId22">
          <objectPr defaultSize="0" autoPict="0" r:id="rId15">
            <anchor moveWithCells="1" sizeWithCells="1">
              <from>
                <xdr:col>1</xdr:col>
                <xdr:colOff>628650</xdr:colOff>
                <xdr:row>60</xdr:row>
                <xdr:rowOff>28575</xdr:rowOff>
              </from>
              <to>
                <xdr:col>1</xdr:col>
                <xdr:colOff>1047750</xdr:colOff>
                <xdr:row>60</xdr:row>
                <xdr:rowOff>476250</xdr:rowOff>
              </to>
            </anchor>
          </objectPr>
        </oleObject>
      </mc:Choice>
      <mc:Fallback>
        <oleObject progId="AutoCAD.Drawing.24" shapeId="1049" r:id="rId22"/>
      </mc:Fallback>
    </mc:AlternateContent>
    <mc:AlternateContent xmlns:mc="http://schemas.openxmlformats.org/markup-compatibility/2006">
      <mc:Choice Requires="x14">
        <oleObject progId="AutoCAD.Drawing.24" shapeId="1050" r:id="rId23">
          <objectPr defaultSize="0" autoPict="0" r:id="rId17">
            <anchor moveWithCells="1" sizeWithCells="1">
              <from>
                <xdr:col>1</xdr:col>
                <xdr:colOff>704850</xdr:colOff>
                <xdr:row>69</xdr:row>
                <xdr:rowOff>180975</xdr:rowOff>
              </from>
              <to>
                <xdr:col>1</xdr:col>
                <xdr:colOff>1066800</xdr:colOff>
                <xdr:row>71</xdr:row>
                <xdr:rowOff>57150</xdr:rowOff>
              </to>
            </anchor>
          </objectPr>
        </oleObject>
      </mc:Choice>
      <mc:Fallback>
        <oleObject progId="AutoCAD.Drawing.24" shapeId="1050" r:id="rId23"/>
      </mc:Fallback>
    </mc:AlternateContent>
    <mc:AlternateContent xmlns:mc="http://schemas.openxmlformats.org/markup-compatibility/2006">
      <mc:Choice Requires="x14">
        <oleObject progId="AutoCAD.Drawing.24" shapeId="1055" r:id="rId24">
          <objectPr defaultSize="0" autoPict="0" r:id="rId25">
            <anchor moveWithCells="1" sizeWithCells="1">
              <from>
                <xdr:col>1</xdr:col>
                <xdr:colOff>628650</xdr:colOff>
                <xdr:row>71</xdr:row>
                <xdr:rowOff>47625</xdr:rowOff>
              </from>
              <to>
                <xdr:col>1</xdr:col>
                <xdr:colOff>1047750</xdr:colOff>
                <xdr:row>71</xdr:row>
                <xdr:rowOff>476250</xdr:rowOff>
              </to>
            </anchor>
          </objectPr>
        </oleObject>
      </mc:Choice>
      <mc:Fallback>
        <oleObject progId="AutoCAD.Drawing.24" shapeId="1055" r:id="rId24"/>
      </mc:Fallback>
    </mc:AlternateContent>
    <mc:AlternateContent xmlns:mc="http://schemas.openxmlformats.org/markup-compatibility/2006">
      <mc:Choice Requires="x14">
        <oleObject progId="AutoCAD.Drawing.24" shapeId="1060" r:id="rId26">
          <objectPr defaultSize="0" autoPict="0" r:id="rId27">
            <anchor moveWithCells="1" sizeWithCells="1">
              <from>
                <xdr:col>1</xdr:col>
                <xdr:colOff>161925</xdr:colOff>
                <xdr:row>82</xdr:row>
                <xdr:rowOff>114300</xdr:rowOff>
              </from>
              <to>
                <xdr:col>1</xdr:col>
                <xdr:colOff>1390650</xdr:colOff>
                <xdr:row>82</xdr:row>
                <xdr:rowOff>438150</xdr:rowOff>
              </to>
            </anchor>
          </objectPr>
        </oleObject>
      </mc:Choice>
      <mc:Fallback>
        <oleObject progId="AutoCAD.Drawing.24" shapeId="1060" r:id="rId26"/>
      </mc:Fallback>
    </mc:AlternateContent>
    <mc:AlternateContent xmlns:mc="http://schemas.openxmlformats.org/markup-compatibility/2006">
      <mc:Choice Requires="x14">
        <oleObject progId="AutoCAD.Drawing.24" shapeId="1061" r:id="rId28">
          <objectPr defaultSize="0" autoPict="0" r:id="rId29">
            <anchor moveWithCells="1" sizeWithCells="1">
              <from>
                <xdr:col>1</xdr:col>
                <xdr:colOff>314325</xdr:colOff>
                <xdr:row>83</xdr:row>
                <xdr:rowOff>28575</xdr:rowOff>
              </from>
              <to>
                <xdr:col>1</xdr:col>
                <xdr:colOff>1314450</xdr:colOff>
                <xdr:row>83</xdr:row>
                <xdr:rowOff>447675</xdr:rowOff>
              </to>
            </anchor>
          </objectPr>
        </oleObject>
      </mc:Choice>
      <mc:Fallback>
        <oleObject progId="AutoCAD.Drawing.24" shapeId="1061" r:id="rId28"/>
      </mc:Fallback>
    </mc:AlternateContent>
    <mc:AlternateContent xmlns:mc="http://schemas.openxmlformats.org/markup-compatibility/2006">
      <mc:Choice Requires="x14">
        <oleObject progId="AutoCAD.Drawing.24" shapeId="1062" r:id="rId30">
          <objectPr defaultSize="0" autoPict="0" r:id="rId31">
            <anchor moveWithCells="1" sizeWithCells="1">
              <from>
                <xdr:col>1</xdr:col>
                <xdr:colOff>438150</xdr:colOff>
                <xdr:row>84</xdr:row>
                <xdr:rowOff>38100</xdr:rowOff>
              </from>
              <to>
                <xdr:col>1</xdr:col>
                <xdr:colOff>1181100</xdr:colOff>
                <xdr:row>85</xdr:row>
                <xdr:rowOff>0</xdr:rowOff>
              </to>
            </anchor>
          </objectPr>
        </oleObject>
      </mc:Choice>
      <mc:Fallback>
        <oleObject progId="AutoCAD.Drawing.24" shapeId="1062" r:id="rId30"/>
      </mc:Fallback>
    </mc:AlternateContent>
    <mc:AlternateContent xmlns:mc="http://schemas.openxmlformats.org/markup-compatibility/2006">
      <mc:Choice Requires="x14">
        <oleObject progId="AutoCAD.Drawing.24" shapeId="1063" r:id="rId32">
          <objectPr defaultSize="0" autoPict="0" r:id="rId33">
            <anchor moveWithCells="1" sizeWithCells="1">
              <from>
                <xdr:col>1</xdr:col>
                <xdr:colOff>666750</xdr:colOff>
                <xdr:row>85</xdr:row>
                <xdr:rowOff>57150</xdr:rowOff>
              </from>
              <to>
                <xdr:col>1</xdr:col>
                <xdr:colOff>971550</xdr:colOff>
                <xdr:row>85</xdr:row>
                <xdr:rowOff>485775</xdr:rowOff>
              </to>
            </anchor>
          </objectPr>
        </oleObject>
      </mc:Choice>
      <mc:Fallback>
        <oleObject progId="AutoCAD.Drawing.24" shapeId="1063" r:id="rId32"/>
      </mc:Fallback>
    </mc:AlternateContent>
    <mc:AlternateContent xmlns:mc="http://schemas.openxmlformats.org/markup-compatibility/2006">
      <mc:Choice Requires="x14">
        <oleObject progId="AutoCAD.Drawing.24" shapeId="1064" r:id="rId34">
          <objectPr defaultSize="0" autoPict="0" r:id="rId35">
            <anchor moveWithCells="1" sizeWithCells="1">
              <from>
                <xdr:col>1</xdr:col>
                <xdr:colOff>447675</xdr:colOff>
                <xdr:row>86</xdr:row>
                <xdr:rowOff>57150</xdr:rowOff>
              </from>
              <to>
                <xdr:col>1</xdr:col>
                <xdr:colOff>1123950</xdr:colOff>
                <xdr:row>87</xdr:row>
                <xdr:rowOff>0</xdr:rowOff>
              </to>
            </anchor>
          </objectPr>
        </oleObject>
      </mc:Choice>
      <mc:Fallback>
        <oleObject progId="AutoCAD.Drawing.24" shapeId="1064" r:id="rId34"/>
      </mc:Fallback>
    </mc:AlternateContent>
    <mc:AlternateContent xmlns:mc="http://schemas.openxmlformats.org/markup-compatibility/2006">
      <mc:Choice Requires="x14">
        <oleObject progId="AutoCAD.Drawing.24" shapeId="1065" r:id="rId36">
          <objectPr defaultSize="0" autoPict="0" r:id="rId15">
            <anchor moveWithCells="1" sizeWithCells="1">
              <from>
                <xdr:col>1</xdr:col>
                <xdr:colOff>590550</xdr:colOff>
                <xdr:row>87</xdr:row>
                <xdr:rowOff>38100</xdr:rowOff>
              </from>
              <to>
                <xdr:col>1</xdr:col>
                <xdr:colOff>990600</xdr:colOff>
                <xdr:row>87</xdr:row>
                <xdr:rowOff>485775</xdr:rowOff>
              </to>
            </anchor>
          </objectPr>
        </oleObject>
      </mc:Choice>
      <mc:Fallback>
        <oleObject progId="AutoCAD.Drawing.24" shapeId="1065" r:id="rId36"/>
      </mc:Fallback>
    </mc:AlternateContent>
    <mc:AlternateContent xmlns:mc="http://schemas.openxmlformats.org/markup-compatibility/2006">
      <mc:Choice Requires="x14">
        <oleObject progId="AutoCAD.Drawing.24" shapeId="1066" r:id="rId37">
          <objectPr defaultSize="0" autoPict="0" r:id="rId38">
            <anchor moveWithCells="1" sizeWithCells="1">
              <from>
                <xdr:col>1</xdr:col>
                <xdr:colOff>323850</xdr:colOff>
                <xdr:row>89</xdr:row>
                <xdr:rowOff>28575</xdr:rowOff>
              </from>
              <to>
                <xdr:col>1</xdr:col>
                <xdr:colOff>1409700</xdr:colOff>
                <xdr:row>89</xdr:row>
                <xdr:rowOff>457200</xdr:rowOff>
              </to>
            </anchor>
          </objectPr>
        </oleObject>
      </mc:Choice>
      <mc:Fallback>
        <oleObject progId="AutoCAD.Drawing.24" shapeId="1066" r:id="rId37"/>
      </mc:Fallback>
    </mc:AlternateContent>
    <mc:AlternateContent xmlns:mc="http://schemas.openxmlformats.org/markup-compatibility/2006">
      <mc:Choice Requires="x14">
        <oleObject progId="AutoCAD.Drawing.24" shapeId="1074" r:id="rId39">
          <objectPr defaultSize="0" autoPict="0" r:id="rId40">
            <anchor moveWithCells="1" sizeWithCells="1">
              <from>
                <xdr:col>1</xdr:col>
                <xdr:colOff>657225</xdr:colOff>
                <xdr:row>97</xdr:row>
                <xdr:rowOff>47625</xdr:rowOff>
              </from>
              <to>
                <xdr:col>1</xdr:col>
                <xdr:colOff>1019175</xdr:colOff>
                <xdr:row>97</xdr:row>
                <xdr:rowOff>447675</xdr:rowOff>
              </to>
            </anchor>
          </objectPr>
        </oleObject>
      </mc:Choice>
      <mc:Fallback>
        <oleObject progId="AutoCAD.Drawing.24" shapeId="1074" r:id="rId39"/>
      </mc:Fallback>
    </mc:AlternateContent>
    <mc:AlternateContent xmlns:mc="http://schemas.openxmlformats.org/markup-compatibility/2006">
      <mc:Choice Requires="x14">
        <oleObject progId="AutoCAD.Drawing.24" shapeId="1075" r:id="rId41">
          <objectPr defaultSize="0" autoPict="0" r:id="rId42">
            <anchor moveWithCells="1" sizeWithCells="1">
              <from>
                <xdr:col>1</xdr:col>
                <xdr:colOff>666750</xdr:colOff>
                <xdr:row>96</xdr:row>
                <xdr:rowOff>57150</xdr:rowOff>
              </from>
              <to>
                <xdr:col>1</xdr:col>
                <xdr:colOff>1066800</xdr:colOff>
                <xdr:row>96</xdr:row>
                <xdr:rowOff>457200</xdr:rowOff>
              </to>
            </anchor>
          </objectPr>
        </oleObject>
      </mc:Choice>
      <mc:Fallback>
        <oleObject progId="AutoCAD.Drawing.24" shapeId="1075" r:id="rId41"/>
      </mc:Fallback>
    </mc:AlternateContent>
    <mc:AlternateContent xmlns:mc="http://schemas.openxmlformats.org/markup-compatibility/2006">
      <mc:Choice Requires="x14">
        <oleObject progId="AutoCAD.Drawing.24" shapeId="1076" r:id="rId43">
          <objectPr defaultSize="0" autoPict="0" r:id="rId44">
            <anchor moveWithCells="1" sizeWithCells="1">
              <from>
                <xdr:col>1</xdr:col>
                <xdr:colOff>323850</xdr:colOff>
                <xdr:row>98</xdr:row>
                <xdr:rowOff>190500</xdr:rowOff>
              </from>
              <to>
                <xdr:col>1</xdr:col>
                <xdr:colOff>1362075</xdr:colOff>
                <xdr:row>98</xdr:row>
                <xdr:rowOff>361950</xdr:rowOff>
              </to>
            </anchor>
          </objectPr>
        </oleObject>
      </mc:Choice>
      <mc:Fallback>
        <oleObject progId="AutoCAD.Drawing.24" shapeId="1076" r:id="rId43"/>
      </mc:Fallback>
    </mc:AlternateContent>
    <mc:AlternateContent xmlns:mc="http://schemas.openxmlformats.org/markup-compatibility/2006">
      <mc:Choice Requires="x14">
        <oleObject progId="AutoCAD.Drawing.24" shapeId="1077" r:id="rId45">
          <objectPr defaultSize="0" autoPict="0" r:id="rId46">
            <anchor moveWithCells="1" sizeWithCells="1">
              <from>
                <xdr:col>1</xdr:col>
                <xdr:colOff>704850</xdr:colOff>
                <xdr:row>100</xdr:row>
                <xdr:rowOff>19050</xdr:rowOff>
              </from>
              <to>
                <xdr:col>1</xdr:col>
                <xdr:colOff>1047750</xdr:colOff>
                <xdr:row>100</xdr:row>
                <xdr:rowOff>476250</xdr:rowOff>
              </to>
            </anchor>
          </objectPr>
        </oleObject>
      </mc:Choice>
      <mc:Fallback>
        <oleObject progId="AutoCAD.Drawing.24" shapeId="1077" r:id="rId45"/>
      </mc:Fallback>
    </mc:AlternateContent>
    <mc:AlternateContent xmlns:mc="http://schemas.openxmlformats.org/markup-compatibility/2006">
      <mc:Choice Requires="x14">
        <oleObject progId="AutoCAD.Drawing.24" shapeId="1078" r:id="rId47">
          <objectPr defaultSize="0" autoPict="0" r:id="rId48">
            <anchor moveWithCells="1" sizeWithCells="1">
              <from>
                <xdr:col>1</xdr:col>
                <xdr:colOff>657225</xdr:colOff>
                <xdr:row>102</xdr:row>
                <xdr:rowOff>0</xdr:rowOff>
              </from>
              <to>
                <xdr:col>1</xdr:col>
                <xdr:colOff>1095375</xdr:colOff>
                <xdr:row>102</xdr:row>
                <xdr:rowOff>514350</xdr:rowOff>
              </to>
            </anchor>
          </objectPr>
        </oleObject>
      </mc:Choice>
      <mc:Fallback>
        <oleObject progId="AutoCAD.Drawing.24" shapeId="1078" r:id="rId47"/>
      </mc:Fallback>
    </mc:AlternateContent>
    <mc:AlternateContent xmlns:mc="http://schemas.openxmlformats.org/markup-compatibility/2006">
      <mc:Choice Requires="x14">
        <oleObject progId="AutoCAD.Drawing.24" shapeId="1079" r:id="rId49">
          <objectPr defaultSize="0" autoPict="0" r:id="rId50">
            <anchor moveWithCells="1" sizeWithCells="1">
              <from>
                <xdr:col>1</xdr:col>
                <xdr:colOff>476250</xdr:colOff>
                <xdr:row>101</xdr:row>
                <xdr:rowOff>9525</xdr:rowOff>
              </from>
              <to>
                <xdr:col>1</xdr:col>
                <xdr:colOff>1247775</xdr:colOff>
                <xdr:row>101</xdr:row>
                <xdr:rowOff>495300</xdr:rowOff>
              </to>
            </anchor>
          </objectPr>
        </oleObject>
      </mc:Choice>
      <mc:Fallback>
        <oleObject progId="AutoCAD.Drawing.24" shapeId="1079" r:id="rId49"/>
      </mc:Fallback>
    </mc:AlternateContent>
    <mc:AlternateContent xmlns:mc="http://schemas.openxmlformats.org/markup-compatibility/2006">
      <mc:Choice Requires="x14">
        <oleObject progId="AutoCAD.Drawing.24" shapeId="1080" r:id="rId51">
          <objectPr defaultSize="0" autoPict="0" r:id="rId52">
            <anchor moveWithCells="1" sizeWithCells="1">
              <from>
                <xdr:col>1</xdr:col>
                <xdr:colOff>409575</xdr:colOff>
                <xdr:row>99</xdr:row>
                <xdr:rowOff>19050</xdr:rowOff>
              </from>
              <to>
                <xdr:col>1</xdr:col>
                <xdr:colOff>1162050</xdr:colOff>
                <xdr:row>99</xdr:row>
                <xdr:rowOff>485775</xdr:rowOff>
              </to>
            </anchor>
          </objectPr>
        </oleObject>
      </mc:Choice>
      <mc:Fallback>
        <oleObject progId="AutoCAD.Drawing.24" shapeId="1080" r:id="rId51"/>
      </mc:Fallback>
    </mc:AlternateContent>
    <mc:AlternateContent xmlns:mc="http://schemas.openxmlformats.org/markup-compatibility/2006">
      <mc:Choice Requires="x14">
        <oleObject progId="AutoCAD.Drawing.24" shapeId="1056" r:id="rId53">
          <objectPr defaultSize="0" autoPict="0" r:id="rId54">
            <anchor moveWithCells="1" sizeWithCells="1">
              <from>
                <xdr:col>1</xdr:col>
                <xdr:colOff>438150</xdr:colOff>
                <xdr:row>72</xdr:row>
                <xdr:rowOff>0</xdr:rowOff>
              </from>
              <to>
                <xdr:col>1</xdr:col>
                <xdr:colOff>1200150</xdr:colOff>
                <xdr:row>72</xdr:row>
                <xdr:rowOff>466725</xdr:rowOff>
              </to>
            </anchor>
          </objectPr>
        </oleObject>
      </mc:Choice>
      <mc:Fallback>
        <oleObject progId="AutoCAD.Drawing.24" shapeId="1056" r:id="rId53"/>
      </mc:Fallback>
    </mc:AlternateContent>
    <mc:AlternateContent xmlns:mc="http://schemas.openxmlformats.org/markup-compatibility/2006">
      <mc:Choice Requires="x14">
        <oleObject progId="AutoCAD.Drawing.24" shapeId="1081" r:id="rId55">
          <objectPr defaultSize="0" autoPict="0" r:id="rId54">
            <anchor moveWithCells="1" sizeWithCells="1">
              <from>
                <xdr:col>1</xdr:col>
                <xdr:colOff>438150</xdr:colOff>
                <xdr:row>88</xdr:row>
                <xdr:rowOff>0</xdr:rowOff>
              </from>
              <to>
                <xdr:col>1</xdr:col>
                <xdr:colOff>1200150</xdr:colOff>
                <xdr:row>88</xdr:row>
                <xdr:rowOff>466725</xdr:rowOff>
              </to>
            </anchor>
          </objectPr>
        </oleObject>
      </mc:Choice>
      <mc:Fallback>
        <oleObject progId="AutoCAD.Drawing.24" shapeId="1081" r:id="rId55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38DAE-2E28-47C6-9636-12A846583690}">
  <dimension ref="A1:AC49"/>
  <sheetViews>
    <sheetView rightToLeft="1" zoomScaleNormal="100" zoomScaleSheetLayoutView="100" workbookViewId="0">
      <selection activeCell="D9" sqref="D9"/>
    </sheetView>
  </sheetViews>
  <sheetFormatPr defaultRowHeight="15" x14ac:dyDescent="0.25"/>
  <cols>
    <col min="1" max="1" width="2.5703125" customWidth="1"/>
    <col min="2" max="2" width="2.7109375" style="24" customWidth="1"/>
    <col min="3" max="3" width="16.140625" style="24" customWidth="1"/>
    <col min="4" max="4" width="28.5703125" style="35" customWidth="1"/>
    <col min="5" max="5" width="29.140625" style="36" customWidth="1"/>
    <col min="6" max="6" width="21.5703125" style="24" customWidth="1"/>
    <col min="7" max="7" width="2.7109375" style="36" customWidth="1"/>
    <col min="8" max="8" width="4.28515625" customWidth="1"/>
    <col min="11" max="11" width="14.28515625" customWidth="1"/>
  </cols>
  <sheetData>
    <row r="1" spans="1:29" ht="22.5" customHeight="1" x14ac:dyDescent="0.25">
      <c r="A1" s="25"/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1"/>
      <c r="AC1" s="11"/>
    </row>
    <row r="2" spans="1:29" ht="19.899999999999999" customHeight="1" x14ac:dyDescent="0.25">
      <c r="A2" s="25"/>
      <c r="B2" s="12"/>
      <c r="C2" s="12"/>
      <c r="D2" s="13"/>
      <c r="E2" s="14"/>
      <c r="F2" s="12"/>
      <c r="G2" s="15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</row>
    <row r="3" spans="1:29" ht="25.15" customHeight="1" x14ac:dyDescent="0.25">
      <c r="A3" s="25"/>
      <c r="B3" s="16"/>
      <c r="C3" s="118" t="s">
        <v>82</v>
      </c>
      <c r="D3" s="110">
        <f>(Invoice!C13)/100</f>
        <v>0</v>
      </c>
      <c r="E3" s="189" t="str">
        <f>IF(AND(D3&lt;=6,D4&gt;8),"NOT IN RANGE",IF(AND(D3&gt;6,D4&lt;=8),"NOT IN RANGE","CORRECT RANGE"))</f>
        <v>CORRECT RANGE</v>
      </c>
      <c r="F3" s="189"/>
      <c r="G3" s="15"/>
      <c r="H3" s="11"/>
      <c r="I3" s="41">
        <f>K3</f>
        <v>1.1216953130392766E-2</v>
      </c>
      <c r="J3" s="25" t="s">
        <v>78</v>
      </c>
      <c r="K3" s="41">
        <f>IF(AND($D$6="ROOF LEVEL"),'D2'!F2,IF(AND($D$6="SAYANEH"),'D2'!F6,IF(AND($D$6="PAVLION"),'D2'!F10,0)))</f>
        <v>1.1216953130392766E-2</v>
      </c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</row>
    <row r="4" spans="1:29" ht="25.15" customHeight="1" x14ac:dyDescent="0.25">
      <c r="A4" s="25"/>
      <c r="B4" s="16"/>
      <c r="C4" s="118" t="s">
        <v>16</v>
      </c>
      <c r="D4" s="110">
        <f>(Invoice!D13)/100</f>
        <v>0</v>
      </c>
      <c r="E4" s="189"/>
      <c r="F4" s="189"/>
      <c r="G4" s="15"/>
      <c r="H4" s="11"/>
      <c r="I4" s="41">
        <f t="shared" ref="I4:I6" si="0">K4</f>
        <v>0.67301718782356601</v>
      </c>
      <c r="J4" s="25" t="s">
        <v>79</v>
      </c>
      <c r="K4" s="41">
        <f>IF(AND($D$6="ROOF LEVEL"),'D2'!F3,IF(AND($D$6="SAYANEH"),'D2'!F7,IF(AND($D$6="PAVLION"),'D2'!F11,0)))</f>
        <v>0.67301718782356601</v>
      </c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</row>
    <row r="5" spans="1:29" ht="25.15" customHeight="1" x14ac:dyDescent="0.25">
      <c r="A5" s="25"/>
      <c r="B5" s="16"/>
      <c r="C5" s="118" t="s">
        <v>24</v>
      </c>
      <c r="D5" s="111">
        <f>Invoice!E13</f>
        <v>0</v>
      </c>
      <c r="E5" s="189"/>
      <c r="F5" s="189"/>
      <c r="G5" s="15"/>
      <c r="H5" s="11"/>
      <c r="I5" s="41">
        <f t="shared" si="0"/>
        <v>3.8090184303168358E-2</v>
      </c>
      <c r="J5" s="25" t="s">
        <v>80</v>
      </c>
      <c r="K5" s="41">
        <f>IF(AND($D$6="ROOF LEVEL"),'D2'!F4,IF(AND($D$6="SAYANEH"),'D2'!F8,IF(AND($D$6="PAVLION"),'D2'!F12,0)))</f>
        <v>3.8090184303168358E-2</v>
      </c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</row>
    <row r="6" spans="1:29" ht="25.15" customHeight="1" x14ac:dyDescent="0.25">
      <c r="A6" s="25"/>
      <c r="B6" s="16"/>
      <c r="C6" s="118" t="s">
        <v>215</v>
      </c>
      <c r="D6" s="112" t="str">
        <f>Invoice!F13</f>
        <v>Roof Level</v>
      </c>
      <c r="E6" s="189"/>
      <c r="F6" s="189"/>
      <c r="G6" s="15"/>
      <c r="H6" s="11"/>
      <c r="I6" s="41">
        <f t="shared" si="0"/>
        <v>0.27767567474287291</v>
      </c>
      <c r="J6" s="25" t="s">
        <v>81</v>
      </c>
      <c r="K6" s="41">
        <f>IF(AND($D$6="ROOF LEVEL"),'D2'!F5,IF(AND($D$6="SAYANEH"),'D2'!F9,IF(AND($D$6="PAVLION"),'D2'!F13,0)))</f>
        <v>0.27767567474287291</v>
      </c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</row>
    <row r="7" spans="1:29" ht="25.15" customHeight="1" x14ac:dyDescent="0.25">
      <c r="A7" s="25"/>
      <c r="B7" s="16"/>
      <c r="C7" s="118" t="s">
        <v>213</v>
      </c>
      <c r="D7" s="160" t="str">
        <f>Invoice!G13</f>
        <v>متحرک</v>
      </c>
      <c r="E7" s="117" t="s">
        <v>83</v>
      </c>
      <c r="F7" s="114">
        <f>D3*D4*D5</f>
        <v>0</v>
      </c>
      <c r="G7" s="15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</row>
    <row r="8" spans="1:29" ht="25.15" customHeight="1" x14ac:dyDescent="0.25">
      <c r="A8" s="25"/>
      <c r="B8" s="16"/>
      <c r="C8" s="118" t="s">
        <v>19</v>
      </c>
      <c r="D8" s="113" t="str">
        <f>Invoice!G18</f>
        <v xml:space="preserve">120Nm بکر آلمان </v>
      </c>
      <c r="E8" s="117" t="s">
        <v>20</v>
      </c>
      <c r="F8" s="115" t="e">
        <f>FLOOR(F9/F7,100000)</f>
        <v>#DIV/0!</v>
      </c>
      <c r="G8" s="15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</row>
    <row r="9" spans="1:29" ht="25.15" customHeight="1" x14ac:dyDescent="0.25">
      <c r="A9" s="25"/>
      <c r="B9" s="12"/>
      <c r="C9" s="118" t="s">
        <v>84</v>
      </c>
      <c r="D9" s="113" t="str">
        <f>Invoice!H12</f>
        <v>روشنایی لبه آبراه(خطی LED)</v>
      </c>
      <c r="E9" s="117" t="s">
        <v>22</v>
      </c>
      <c r="F9" s="115">
        <f>IF(AND(D6="ROOF LEVEL",D7="متحرک"),('D2'!J15),IF(AND(D6="SAYANEH",D7="متحرک"),('D2'!J16),IF(AND(D6="PAVLION",D7="متحرک"),('D2'!J17),IF(AND(D6="ROOF LEVEL",D7="ثابت"),('D2'!J19),IF(AND(D6="SAYANEH",D7="ثابت"),('D2'!J20),IF(AND(D6="PAVLION",D7="ثابت"),('D2'!J21),0))))))</f>
        <v>0</v>
      </c>
      <c r="G9" s="15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</row>
    <row r="10" spans="1:29" ht="16.149999999999999" hidden="1" customHeight="1" x14ac:dyDescent="0.25">
      <c r="A10" s="25"/>
      <c r="B10" s="16"/>
      <c r="C10" s="107" t="s">
        <v>21</v>
      </c>
      <c r="D10" s="108">
        <f>Invoice!C18</f>
        <v>700000</v>
      </c>
      <c r="E10" s="119" t="s">
        <v>33</v>
      </c>
      <c r="F10" s="116" t="str">
        <f>IF(AND(D4&gt;2,D4&lt;=3),0,IF(AND(D4&gt;3,D4&lt;=8),1,"0"))</f>
        <v>0</v>
      </c>
      <c r="G10" s="15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</row>
    <row r="11" spans="1:29" ht="16.149999999999999" hidden="1" customHeight="1" thickBot="1" x14ac:dyDescent="0.3">
      <c r="A11" s="25"/>
      <c r="B11" s="16"/>
      <c r="C11" s="45" t="s">
        <v>34</v>
      </c>
      <c r="D11" s="43">
        <f>Invoice!C17</f>
        <v>2200000</v>
      </c>
      <c r="E11" s="17" t="s">
        <v>15</v>
      </c>
      <c r="F11" s="109">
        <v>35</v>
      </c>
      <c r="G11" s="15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</row>
    <row r="12" spans="1:29" ht="16.149999999999999" hidden="1" customHeight="1" thickBot="1" x14ac:dyDescent="0.3">
      <c r="A12" s="25"/>
      <c r="B12" s="16"/>
      <c r="C12" s="44" t="s">
        <v>37</v>
      </c>
      <c r="D12" s="43">
        <f>Invoice!C19</f>
        <v>450000</v>
      </c>
      <c r="E12" s="19" t="s">
        <v>17</v>
      </c>
      <c r="F12" s="18">
        <v>50</v>
      </c>
      <c r="G12" s="15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</row>
    <row r="13" spans="1:29" ht="19.899999999999999" customHeight="1" x14ac:dyDescent="0.25">
      <c r="A13" s="25"/>
      <c r="B13" s="16"/>
      <c r="C13" s="16"/>
      <c r="D13" s="16"/>
      <c r="E13" s="16"/>
      <c r="F13" s="16"/>
      <c r="G13" s="16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</row>
    <row r="14" spans="1:29" x14ac:dyDescent="0.25">
      <c r="A14" s="25"/>
      <c r="B14" s="25"/>
      <c r="C14" s="26"/>
      <c r="D14" s="27"/>
      <c r="E14" s="28"/>
      <c r="F14" s="11"/>
      <c r="G14" s="29"/>
      <c r="H14" s="190">
        <f>FLOOR((IF(AND($D$6="ROOF LEVEL"),'D2'!D2,IF(AND($D$6="SAYANEH"),'D2'!D6,IF(AND($D$6="PAVLION"),'D2'!D10,0)))),1000000)/10000000</f>
        <v>0.6</v>
      </c>
      <c r="I14" s="190"/>
      <c r="J14" s="190"/>
      <c r="K14" s="190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</row>
    <row r="15" spans="1:29" x14ac:dyDescent="0.25">
      <c r="A15" s="25"/>
      <c r="B15" s="25"/>
      <c r="C15" s="26"/>
      <c r="D15" s="27"/>
      <c r="E15" s="27"/>
      <c r="F15" s="27"/>
      <c r="G15" s="27"/>
      <c r="H15" s="27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</row>
    <row r="16" spans="1:29" x14ac:dyDescent="0.25">
      <c r="A16" s="25"/>
      <c r="B16" s="25"/>
      <c r="C16" s="25"/>
      <c r="D16" s="25"/>
      <c r="E16" s="25"/>
      <c r="F16" s="25"/>
      <c r="G16" s="25"/>
      <c r="H16" s="25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</row>
    <row r="17" spans="1:29" x14ac:dyDescent="0.25">
      <c r="A17" s="25"/>
      <c r="B17" s="25"/>
      <c r="C17" s="25"/>
      <c r="D17" s="25"/>
      <c r="E17" s="25"/>
      <c r="F17" s="25"/>
      <c r="G17" s="25"/>
      <c r="H17" s="25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</row>
    <row r="18" spans="1:29" x14ac:dyDescent="0.25">
      <c r="A18" s="25"/>
      <c r="B18" s="30"/>
      <c r="C18" s="30"/>
      <c r="D18" s="30"/>
      <c r="E18" s="11"/>
      <c r="F18" s="11"/>
      <c r="G18" s="28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</row>
    <row r="19" spans="1:29" x14ac:dyDescent="0.25">
      <c r="A19" s="25"/>
      <c r="B19" s="30"/>
      <c r="C19" s="30"/>
      <c r="D19" s="30"/>
      <c r="E19" s="11"/>
      <c r="F19" s="11"/>
      <c r="G19" s="28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</row>
    <row r="20" spans="1:29" x14ac:dyDescent="0.25">
      <c r="A20" s="25"/>
      <c r="B20" s="11"/>
      <c r="C20" s="11"/>
      <c r="D20" s="31"/>
      <c r="E20" s="11"/>
      <c r="F20" s="32"/>
      <c r="G20" s="32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</row>
    <row r="21" spans="1:29" x14ac:dyDescent="0.25">
      <c r="A21" s="25"/>
      <c r="B21" s="11"/>
      <c r="C21" s="11"/>
      <c r="D21" s="31"/>
      <c r="E21" s="11"/>
      <c r="F21" s="32"/>
      <c r="G21" s="32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</row>
    <row r="22" spans="1:29" x14ac:dyDescent="0.25">
      <c r="A22" s="25"/>
      <c r="B22" s="11"/>
      <c r="C22" s="11"/>
      <c r="D22" s="31"/>
      <c r="E22" s="11"/>
      <c r="F22" s="32"/>
      <c r="G22" s="32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</row>
    <row r="23" spans="1:29" x14ac:dyDescent="0.25">
      <c r="A23" s="25"/>
      <c r="B23" s="11"/>
      <c r="C23" s="11"/>
      <c r="D23" s="31"/>
      <c r="E23" s="11"/>
      <c r="F23" s="32"/>
      <c r="G23" s="33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</row>
    <row r="24" spans="1:29" x14ac:dyDescent="0.25">
      <c r="A24" s="25"/>
      <c r="B24" s="11"/>
      <c r="C24" s="11"/>
      <c r="D24" s="31"/>
      <c r="E24" s="11"/>
      <c r="F24" s="32"/>
      <c r="G24" s="33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</row>
    <row r="25" spans="1:29" x14ac:dyDescent="0.25">
      <c r="A25" s="25"/>
      <c r="B25" s="11"/>
      <c r="C25" s="11"/>
      <c r="D25" s="31"/>
      <c r="E25" s="11"/>
      <c r="F25" s="32"/>
      <c r="G25" s="33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</row>
    <row r="26" spans="1:29" x14ac:dyDescent="0.25">
      <c r="A26" s="25"/>
      <c r="B26" s="11"/>
      <c r="C26" s="11"/>
      <c r="D26" s="31"/>
      <c r="E26" s="11"/>
      <c r="F26" s="32"/>
      <c r="G26" s="33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</row>
    <row r="27" spans="1:29" x14ac:dyDescent="0.25">
      <c r="A27" s="25"/>
      <c r="B27" s="11"/>
      <c r="C27" s="11"/>
      <c r="D27" s="31"/>
      <c r="E27" s="11"/>
      <c r="F27" s="32"/>
      <c r="G27" s="33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</row>
    <row r="28" spans="1:29" x14ac:dyDescent="0.25">
      <c r="A28" s="25"/>
      <c r="B28" s="30"/>
      <c r="C28" s="11"/>
      <c r="D28" s="31"/>
      <c r="E28" s="11"/>
      <c r="F28" s="32"/>
      <c r="G28" s="33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</row>
    <row r="29" spans="1:29" x14ac:dyDescent="0.25">
      <c r="A29" s="25"/>
      <c r="B29" s="11"/>
      <c r="C29" s="11"/>
      <c r="D29" s="31"/>
      <c r="E29" s="11"/>
      <c r="F29" s="32"/>
      <c r="G29" s="33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</row>
    <row r="30" spans="1:29" x14ac:dyDescent="0.25">
      <c r="A30" s="25"/>
      <c r="B30" s="11"/>
      <c r="C30" s="11"/>
      <c r="D30" s="31"/>
      <c r="E30" s="11"/>
      <c r="F30" s="32"/>
      <c r="G30" s="33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</row>
    <row r="31" spans="1:29" x14ac:dyDescent="0.25">
      <c r="A31" s="25"/>
      <c r="B31" s="11"/>
      <c r="C31" s="11"/>
      <c r="D31" s="31"/>
      <c r="E31" s="28"/>
      <c r="F31" s="32"/>
      <c r="G31" s="33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</row>
    <row r="32" spans="1:29" x14ac:dyDescent="0.25">
      <c r="A32" s="25"/>
      <c r="B32" s="11"/>
      <c r="C32" s="11"/>
      <c r="D32" s="31"/>
      <c r="E32" s="28"/>
      <c r="F32" s="32"/>
      <c r="G32" s="33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</row>
    <row r="33" spans="1:29" x14ac:dyDescent="0.25">
      <c r="A33" s="25"/>
      <c r="B33" s="11"/>
      <c r="C33" s="11"/>
      <c r="D33" s="31"/>
      <c r="E33" s="28"/>
      <c r="F33" s="28"/>
      <c r="G33" s="28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</row>
    <row r="34" spans="1:29" x14ac:dyDescent="0.25">
      <c r="A34" s="25"/>
      <c r="B34" s="11"/>
      <c r="C34" s="11"/>
      <c r="D34" s="31"/>
      <c r="E34" s="28"/>
      <c r="F34" s="28"/>
      <c r="G34" s="28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</row>
    <row r="35" spans="1:29" x14ac:dyDescent="0.25">
      <c r="A35" s="25"/>
      <c r="B35" s="11"/>
      <c r="C35" s="11"/>
      <c r="D35" s="31"/>
      <c r="E35" s="28"/>
      <c r="F35" s="28"/>
      <c r="G35" s="28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</row>
    <row r="36" spans="1:29" x14ac:dyDescent="0.25">
      <c r="A36" s="25"/>
      <c r="B36" s="11"/>
      <c r="C36" s="11"/>
      <c r="D36" s="31"/>
      <c r="E36" s="28"/>
      <c r="F36" s="28"/>
      <c r="G36" s="28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</row>
    <row r="37" spans="1:29" x14ac:dyDescent="0.25">
      <c r="A37" s="25"/>
      <c r="B37" s="11"/>
      <c r="C37" s="11"/>
      <c r="D37" s="31"/>
      <c r="E37" s="28"/>
      <c r="F37" s="28"/>
      <c r="G37" s="28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</row>
    <row r="38" spans="1:29" x14ac:dyDescent="0.25">
      <c r="A38" s="25"/>
      <c r="B38" s="11"/>
      <c r="C38" s="11"/>
      <c r="D38" s="31"/>
      <c r="E38" s="28"/>
      <c r="F38" s="28"/>
      <c r="G38" s="28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</row>
    <row r="39" spans="1:29" x14ac:dyDescent="0.25">
      <c r="A39" s="25"/>
      <c r="B39" s="11"/>
      <c r="C39" s="11"/>
      <c r="D39" s="31"/>
      <c r="E39" s="28"/>
      <c r="F39" s="28"/>
      <c r="G39" s="28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</row>
    <row r="40" spans="1:29" x14ac:dyDescent="0.25">
      <c r="A40" s="25"/>
      <c r="B40" s="11"/>
      <c r="C40" s="11"/>
      <c r="D40" s="34"/>
      <c r="E40" s="28"/>
      <c r="F40" s="11"/>
      <c r="G40" s="28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</row>
    <row r="41" spans="1:29" x14ac:dyDescent="0.25">
      <c r="A41" s="25"/>
      <c r="B41" s="11"/>
      <c r="C41" s="11"/>
      <c r="D41" s="34"/>
      <c r="E41" s="28"/>
      <c r="F41" s="11"/>
      <c r="G41" s="28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</row>
    <row r="42" spans="1:29" x14ac:dyDescent="0.25">
      <c r="A42" s="25"/>
      <c r="B42" s="11"/>
      <c r="C42" s="11"/>
      <c r="D42" s="46" t="s">
        <v>88</v>
      </c>
      <c r="E42" s="28"/>
      <c r="F42" s="11"/>
      <c r="G42" s="28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</row>
    <row r="43" spans="1:29" x14ac:dyDescent="0.25">
      <c r="A43" s="25"/>
      <c r="B43" s="11"/>
      <c r="C43" s="42" t="s">
        <v>13</v>
      </c>
      <c r="D43" s="34" t="s">
        <v>85</v>
      </c>
      <c r="E43" s="34" t="s">
        <v>89</v>
      </c>
      <c r="F43" s="11"/>
      <c r="G43" s="28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</row>
    <row r="44" spans="1:29" x14ac:dyDescent="0.25">
      <c r="A44" s="25"/>
      <c r="B44" s="11"/>
      <c r="C44" s="42" t="s">
        <v>14</v>
      </c>
      <c r="D44" s="34" t="s">
        <v>86</v>
      </c>
      <c r="E44" s="34" t="s">
        <v>90</v>
      </c>
      <c r="F44" s="11"/>
      <c r="G44" s="28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</row>
    <row r="45" spans="1:29" x14ac:dyDescent="0.25">
      <c r="A45" s="25"/>
      <c r="B45" s="11"/>
      <c r="C45" s="42" t="s">
        <v>25</v>
      </c>
      <c r="D45" s="34" t="s">
        <v>87</v>
      </c>
      <c r="E45" s="28"/>
      <c r="F45" s="11"/>
      <c r="G45" s="28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</row>
    <row r="46" spans="1:29" x14ac:dyDescent="0.25">
      <c r="A46" s="25"/>
      <c r="B46" s="11"/>
      <c r="C46" s="11"/>
      <c r="D46" s="34"/>
      <c r="E46" s="28"/>
      <c r="F46" s="11"/>
      <c r="G46" s="28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</row>
    <row r="47" spans="1:29" x14ac:dyDescent="0.25">
      <c r="A47" s="25"/>
      <c r="B47" s="11"/>
      <c r="C47" s="11"/>
      <c r="D47" s="34"/>
      <c r="E47" s="28"/>
      <c r="F47" s="11"/>
      <c r="G47" s="28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</row>
    <row r="48" spans="1:29" x14ac:dyDescent="0.25">
      <c r="A48" s="25"/>
      <c r="B48" s="11"/>
      <c r="C48" s="11"/>
      <c r="D48" s="34"/>
      <c r="E48" s="28"/>
      <c r="F48" s="11"/>
      <c r="G48" s="28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</row>
    <row r="49" spans="1:29" x14ac:dyDescent="0.25">
      <c r="A49" s="25"/>
      <c r="B49" s="11"/>
      <c r="C49" s="11"/>
      <c r="D49" s="34"/>
      <c r="E49" s="28"/>
      <c r="F49" s="11"/>
      <c r="G49" s="28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</row>
  </sheetData>
  <mergeCells count="2">
    <mergeCell ref="E3:F6"/>
    <mergeCell ref="H14:K14"/>
  </mergeCells>
  <conditionalFormatting sqref="E3">
    <cfRule type="cellIs" dxfId="10" priority="1" operator="equal">
      <formula>"NOT IN RANGE"</formula>
    </cfRule>
    <cfRule type="cellIs" dxfId="9" priority="2" operator="equal">
      <formula>"CORRECT RANGE"</formula>
    </cfRule>
  </conditionalFormatting>
  <pageMargins left="0.7" right="0.7" top="0.75" bottom="0.75" header="0.3" footer="0.3"/>
  <pageSetup paperSize="8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D054B8-496E-4CD7-B064-F34B4315FAF5}">
  <dimension ref="A2:L109"/>
  <sheetViews>
    <sheetView rightToLeft="1" topLeftCell="A3" workbookViewId="0">
      <selection activeCell="J19" sqref="J19"/>
    </sheetView>
  </sheetViews>
  <sheetFormatPr defaultRowHeight="15" x14ac:dyDescent="0.25"/>
  <cols>
    <col min="2" max="3" width="24.5703125" customWidth="1"/>
    <col min="4" max="4" width="10" customWidth="1"/>
    <col min="5" max="5" width="7.42578125" customWidth="1"/>
    <col min="6" max="7" width="15" customWidth="1"/>
    <col min="8" max="8" width="12.42578125" customWidth="1"/>
    <col min="9" max="9" width="12" style="100" customWidth="1"/>
    <col min="10" max="10" width="16.42578125" customWidth="1"/>
    <col min="11" max="11" width="14.140625" customWidth="1"/>
    <col min="12" max="12" width="11.42578125" customWidth="1"/>
  </cols>
  <sheetData>
    <row r="2" spans="2:11" x14ac:dyDescent="0.25">
      <c r="B2" s="191" t="s">
        <v>89</v>
      </c>
      <c r="C2" s="101" t="s">
        <v>74</v>
      </c>
      <c r="D2" s="195">
        <f>G30+G41+G59+G60+G83+G86+G98+G99+G100</f>
        <v>6500000</v>
      </c>
      <c r="E2" s="195"/>
      <c r="F2" s="102">
        <f>D2/$J$2</f>
        <v>1.1216953130392766E-2</v>
      </c>
      <c r="H2" s="202" t="s">
        <v>89</v>
      </c>
      <c r="I2" s="202"/>
      <c r="J2" s="120">
        <f>D37+D49+D66+D78+D92+D106-D109</f>
        <v>579480000</v>
      </c>
      <c r="K2" s="120"/>
    </row>
    <row r="3" spans="2:11" x14ac:dyDescent="0.25">
      <c r="B3" s="191"/>
      <c r="C3" s="101" t="s">
        <v>75</v>
      </c>
      <c r="D3" s="195">
        <f>G25+G90</f>
        <v>390000000</v>
      </c>
      <c r="E3" s="195"/>
      <c r="F3" s="102">
        <f t="shared" ref="F3:F5" si="0">D3/$J$2</f>
        <v>0.67301718782356601</v>
      </c>
      <c r="H3" s="202" t="s">
        <v>206</v>
      </c>
      <c r="I3" s="202"/>
      <c r="J3" s="120">
        <f>SUM(D6:E9)</f>
        <v>614991250</v>
      </c>
      <c r="K3" s="120"/>
    </row>
    <row r="4" spans="2:11" x14ac:dyDescent="0.25">
      <c r="B4" s="191"/>
      <c r="C4" s="101" t="s">
        <v>76</v>
      </c>
      <c r="D4" s="195">
        <f>G36+G48+G65+G77+G91+(0.6*G105)</f>
        <v>22072500</v>
      </c>
      <c r="E4" s="195"/>
      <c r="F4" s="102">
        <f t="shared" si="0"/>
        <v>3.8090184303168358E-2</v>
      </c>
      <c r="H4" s="202" t="s">
        <v>207</v>
      </c>
      <c r="I4" s="202"/>
      <c r="J4" s="120">
        <f>D37+D49+D66+D78+D92+D106</f>
        <v>650502500</v>
      </c>
      <c r="K4" s="120"/>
    </row>
    <row r="5" spans="2:11" x14ac:dyDescent="0.25">
      <c r="B5" s="191"/>
      <c r="C5" s="101" t="s">
        <v>77</v>
      </c>
      <c r="D5" s="195">
        <f>J2-D2-D3-D4</f>
        <v>160907500</v>
      </c>
      <c r="E5" s="195"/>
      <c r="F5" s="102">
        <f t="shared" si="0"/>
        <v>0.27767567474287291</v>
      </c>
      <c r="H5" s="121"/>
      <c r="I5" s="97" t="s">
        <v>13</v>
      </c>
      <c r="J5" s="121"/>
      <c r="K5" s="22">
        <f>300*'S2'!D10</f>
        <v>210000000</v>
      </c>
    </row>
    <row r="6" spans="2:11" x14ac:dyDescent="0.25">
      <c r="B6" s="192" t="s">
        <v>206</v>
      </c>
      <c r="C6" s="103" t="s">
        <v>74</v>
      </c>
      <c r="D6" s="194">
        <f>D10-F16</f>
        <v>57925000</v>
      </c>
      <c r="E6" s="194"/>
      <c r="F6" s="104">
        <f>D6/$J$3</f>
        <v>9.4188331947812259E-2</v>
      </c>
      <c r="H6" s="121"/>
      <c r="I6" s="97" t="s">
        <v>14</v>
      </c>
      <c r="J6" s="121"/>
      <c r="K6" s="22">
        <f>390*'S2'!D10</f>
        <v>273000000</v>
      </c>
    </row>
    <row r="7" spans="2:11" x14ac:dyDescent="0.25">
      <c r="B7" s="192"/>
      <c r="C7" s="103" t="s">
        <v>75</v>
      </c>
      <c r="D7" s="194">
        <f>D11</f>
        <v>390000000</v>
      </c>
      <c r="E7" s="194"/>
      <c r="F7" s="104">
        <f t="shared" ref="F7:F9" si="1">D7/$J$3</f>
        <v>0.63415536399908123</v>
      </c>
      <c r="H7" s="121"/>
      <c r="I7" s="97" t="s">
        <v>25</v>
      </c>
      <c r="J7" s="121"/>
      <c r="K7" s="22">
        <f>60*'S2'!D10</f>
        <v>42000000</v>
      </c>
    </row>
    <row r="8" spans="2:11" x14ac:dyDescent="0.25">
      <c r="B8" s="192"/>
      <c r="C8" s="103" t="s">
        <v>76</v>
      </c>
      <c r="D8" s="194">
        <f>D12-F17</f>
        <v>26280000</v>
      </c>
      <c r="E8" s="194"/>
      <c r="F8" s="104">
        <f t="shared" si="1"/>
        <v>4.2732315297168859E-2</v>
      </c>
      <c r="H8" s="208" t="s">
        <v>23</v>
      </c>
      <c r="I8" s="208"/>
      <c r="J8" s="208"/>
      <c r="K8" s="20">
        <f>6*'S2'!D10*'S2'!D3*'S2'!D4</f>
        <v>0</v>
      </c>
    </row>
    <row r="9" spans="2:11" ht="15.75" x14ac:dyDescent="0.25">
      <c r="B9" s="192"/>
      <c r="C9" s="103" t="s">
        <v>77</v>
      </c>
      <c r="D9" s="194">
        <f>D13-F18</f>
        <v>140786250</v>
      </c>
      <c r="E9" s="194"/>
      <c r="F9" s="104">
        <f t="shared" si="1"/>
        <v>0.22892398875593759</v>
      </c>
      <c r="H9" s="122"/>
      <c r="I9" s="23"/>
      <c r="J9" s="123" t="s">
        <v>15</v>
      </c>
      <c r="K9" s="124">
        <v>35</v>
      </c>
    </row>
    <row r="10" spans="2:11" ht="15.75" x14ac:dyDescent="0.25">
      <c r="B10" s="193" t="s">
        <v>207</v>
      </c>
      <c r="C10" s="105" t="s">
        <v>74</v>
      </c>
      <c r="D10" s="196">
        <f>G30+G41+G59+G60+G83+G86+G97+G98+G99+G100</f>
        <v>109350000</v>
      </c>
      <c r="E10" s="196"/>
      <c r="F10" s="106">
        <f>D10/$J$4</f>
        <v>0.16810081437042901</v>
      </c>
      <c r="H10" s="125"/>
      <c r="I10" s="21"/>
      <c r="J10" s="123" t="s">
        <v>17</v>
      </c>
      <c r="K10" s="124">
        <v>50</v>
      </c>
    </row>
    <row r="11" spans="2:11" ht="15.75" x14ac:dyDescent="0.25">
      <c r="B11" s="193"/>
      <c r="C11" s="105" t="s">
        <v>75</v>
      </c>
      <c r="D11" s="196">
        <f>G25+G90</f>
        <v>390000000</v>
      </c>
      <c r="E11" s="196"/>
      <c r="F11" s="106">
        <f t="shared" ref="F11:F13" si="2">D11/$J$4</f>
        <v>0.59953651215790871</v>
      </c>
      <c r="H11" s="125"/>
      <c r="I11" s="21"/>
      <c r="J11" s="123" t="s">
        <v>18</v>
      </c>
      <c r="K11" s="124">
        <v>0</v>
      </c>
    </row>
    <row r="12" spans="2:11" x14ac:dyDescent="0.25">
      <c r="B12" s="193"/>
      <c r="C12" s="105" t="s">
        <v>76</v>
      </c>
      <c r="D12" s="196">
        <f>G36+G48+G65+G77+G91+G105</f>
        <v>30487500</v>
      </c>
      <c r="E12" s="196"/>
      <c r="F12" s="106">
        <f t="shared" si="2"/>
        <v>4.6867613883113439E-2</v>
      </c>
      <c r="H12" s="126" t="s">
        <v>89</v>
      </c>
      <c r="I12" s="127"/>
      <c r="J12" s="127">
        <f>FLOOR((J2+K8)*'S2'!D5,100000)</f>
        <v>0</v>
      </c>
      <c r="K12" s="127" t="s">
        <v>208</v>
      </c>
    </row>
    <row r="13" spans="2:11" x14ac:dyDescent="0.25">
      <c r="B13" s="193"/>
      <c r="C13" s="105" t="s">
        <v>77</v>
      </c>
      <c r="D13" s="196">
        <f>J4-D10-D11-D12</f>
        <v>120665000</v>
      </c>
      <c r="E13" s="196"/>
      <c r="F13" s="106">
        <f t="shared" si="2"/>
        <v>0.18549505958854887</v>
      </c>
      <c r="H13" s="126" t="s">
        <v>206</v>
      </c>
      <c r="I13" s="127"/>
      <c r="J13" s="127">
        <f>FLOOR((J3+K8)*'S2'!D5,100000)</f>
        <v>0</v>
      </c>
      <c r="K13" s="127"/>
    </row>
    <row r="14" spans="2:11" x14ac:dyDescent="0.25">
      <c r="H14" s="126" t="s">
        <v>207</v>
      </c>
      <c r="I14" s="127"/>
      <c r="J14" s="127">
        <f>FLOOR((J4+K8)*'S2'!D5,100000)</f>
        <v>0</v>
      </c>
      <c r="K14" s="127"/>
    </row>
    <row r="15" spans="2:11" x14ac:dyDescent="0.25">
      <c r="D15" s="201" t="s">
        <v>210</v>
      </c>
      <c r="E15" s="201"/>
      <c r="F15" s="201"/>
      <c r="H15" s="120" t="s">
        <v>89</v>
      </c>
      <c r="I15" s="8" t="s">
        <v>212</v>
      </c>
      <c r="J15" s="8">
        <f>FLOOR((J12*(1+K9*0.01)*(1+K10*0.01)*(1+K11*0.01)),100000)</f>
        <v>0</v>
      </c>
      <c r="K15" s="204" t="s">
        <v>209</v>
      </c>
    </row>
    <row r="16" spans="2:11" x14ac:dyDescent="0.25">
      <c r="D16" s="103" t="s">
        <v>74</v>
      </c>
      <c r="F16" s="128">
        <f>(D10-D2)/2</f>
        <v>51425000</v>
      </c>
      <c r="H16" s="120" t="s">
        <v>206</v>
      </c>
      <c r="I16" s="8" t="s">
        <v>212</v>
      </c>
      <c r="J16" s="8">
        <f>FLOOR((J13*(1+K9*0.01)*(1+K10*0.01)*(1+K11*0.01)),100000)</f>
        <v>0</v>
      </c>
      <c r="K16" s="204"/>
    </row>
    <row r="17" spans="1:12" x14ac:dyDescent="0.25">
      <c r="D17" s="103" t="s">
        <v>76</v>
      </c>
      <c r="F17" s="129">
        <f>(D12-D4)/2</f>
        <v>4207500</v>
      </c>
      <c r="H17" s="156" t="s">
        <v>207</v>
      </c>
      <c r="I17" s="157" t="s">
        <v>212</v>
      </c>
      <c r="J17" s="157">
        <f>FLOOR((J14*(1+K9*0.01)*(1+K10*0.01)*(1+K11*0.01)),100000)</f>
        <v>0</v>
      </c>
      <c r="K17" s="207"/>
    </row>
    <row r="18" spans="1:12" ht="18.75" x14ac:dyDescent="0.25">
      <c r="D18" s="103" t="s">
        <v>77</v>
      </c>
      <c r="F18" s="129">
        <f>(D13-D5)/2</f>
        <v>-20121250</v>
      </c>
      <c r="H18" s="205" t="s">
        <v>214</v>
      </c>
      <c r="I18" s="206"/>
      <c r="J18" s="161">
        <f>Invoice!C20</f>
        <v>28</v>
      </c>
      <c r="K18" s="121"/>
    </row>
    <row r="19" spans="1:12" x14ac:dyDescent="0.25">
      <c r="H19" s="158" t="s">
        <v>89</v>
      </c>
      <c r="I19" s="159" t="s">
        <v>211</v>
      </c>
      <c r="J19" s="159">
        <f>J15*(100-$J$18)/100</f>
        <v>0</v>
      </c>
      <c r="K19" s="203" t="s">
        <v>209</v>
      </c>
    </row>
    <row r="20" spans="1:12" x14ac:dyDescent="0.25">
      <c r="H20" s="120" t="s">
        <v>206</v>
      </c>
      <c r="I20" s="8" t="s">
        <v>211</v>
      </c>
      <c r="J20" s="159">
        <f t="shared" ref="J20:J21" si="3">J16*(100-$J$18)/100</f>
        <v>0</v>
      </c>
      <c r="K20" s="204"/>
    </row>
    <row r="21" spans="1:12" x14ac:dyDescent="0.25">
      <c r="H21" s="120" t="s">
        <v>207</v>
      </c>
      <c r="I21" s="8" t="s">
        <v>211</v>
      </c>
      <c r="J21" s="159">
        <f t="shared" si="3"/>
        <v>0</v>
      </c>
      <c r="K21" s="204"/>
    </row>
    <row r="22" spans="1:12" x14ac:dyDescent="0.25">
      <c r="A22" s="152"/>
      <c r="B22" s="152"/>
      <c r="C22" s="152"/>
      <c r="D22" s="152"/>
      <c r="E22" s="152"/>
      <c r="F22" s="152"/>
      <c r="G22" s="152"/>
      <c r="H22" s="153"/>
      <c r="I22" s="155"/>
      <c r="J22" s="154"/>
      <c r="K22" s="155"/>
      <c r="L22" s="152"/>
    </row>
    <row r="23" spans="1:12" ht="21" x14ac:dyDescent="0.25">
      <c r="B23" s="1"/>
      <c r="C23" s="1"/>
      <c r="D23" s="200" t="s">
        <v>30</v>
      </c>
      <c r="E23" s="200"/>
      <c r="F23" s="200"/>
      <c r="G23" s="2"/>
    </row>
    <row r="24" spans="1:12" x14ac:dyDescent="0.25">
      <c r="B24" s="3"/>
      <c r="C24" s="3"/>
      <c r="D24" s="4" t="s">
        <v>0</v>
      </c>
      <c r="E24" s="4" t="s">
        <v>1</v>
      </c>
      <c r="F24" s="5" t="s">
        <v>28</v>
      </c>
      <c r="G24" s="2"/>
    </row>
    <row r="25" spans="1:12" ht="40.15" customHeight="1" x14ac:dyDescent="0.25">
      <c r="B25" s="3"/>
      <c r="C25" s="37" t="str">
        <f>'S2'!D8</f>
        <v xml:space="preserve">120Nm بکر آلمان </v>
      </c>
      <c r="D25" s="6">
        <v>1</v>
      </c>
      <c r="E25" s="7" t="s">
        <v>2</v>
      </c>
      <c r="F25" s="47">
        <f>IF(AND(C25="120Nm بکر آلمان "),K5,IF(AND(C25="120Nm  سامفی فرانسه "),K6,IF(AND(C25="120Nm  اختصاصی سایه روشن "),K7,0)))</f>
        <v>210000000</v>
      </c>
      <c r="G25" s="8">
        <f t="shared" ref="G25:G36" si="4">F25*D25</f>
        <v>210000000</v>
      </c>
    </row>
    <row r="26" spans="1:12" ht="40.15" customHeight="1" x14ac:dyDescent="0.25">
      <c r="B26" s="3"/>
      <c r="C26" s="3" t="s">
        <v>26</v>
      </c>
      <c r="D26" s="6">
        <v>2</v>
      </c>
      <c r="E26" s="7" t="s">
        <v>2</v>
      </c>
      <c r="F26" s="47">
        <v>1200000</v>
      </c>
      <c r="G26" s="8">
        <f t="shared" si="4"/>
        <v>2400000</v>
      </c>
    </row>
    <row r="27" spans="1:12" ht="40.15" customHeight="1" x14ac:dyDescent="0.25">
      <c r="B27" s="3"/>
      <c r="C27" s="3" t="s">
        <v>3</v>
      </c>
      <c r="D27" s="6">
        <v>1.5</v>
      </c>
      <c r="E27" s="7" t="s">
        <v>4</v>
      </c>
      <c r="F27" s="47">
        <v>750000</v>
      </c>
      <c r="G27" s="8">
        <f t="shared" si="4"/>
        <v>1125000</v>
      </c>
    </row>
    <row r="28" spans="1:12" ht="40.15" customHeight="1" x14ac:dyDescent="0.25">
      <c r="B28" s="3"/>
      <c r="C28" s="3" t="s">
        <v>27</v>
      </c>
      <c r="D28" s="6">
        <v>2</v>
      </c>
      <c r="E28" s="7" t="s">
        <v>2</v>
      </c>
      <c r="F28" s="47">
        <v>350000</v>
      </c>
      <c r="G28" s="8">
        <f t="shared" si="4"/>
        <v>700000</v>
      </c>
    </row>
    <row r="29" spans="1:12" ht="40.15" customHeight="1" x14ac:dyDescent="0.25">
      <c r="B29" s="3"/>
      <c r="C29" s="3" t="s">
        <v>5</v>
      </c>
      <c r="D29" s="38">
        <f>IF(AND('S2'!D4&lt;=4),('S2'!D4-0.8),IF(AND('S2'!D4&gt;4),(('S2'!D4/2)-0.8),0))</f>
        <v>-0.8</v>
      </c>
      <c r="E29" s="7" t="s">
        <v>2</v>
      </c>
      <c r="F29" s="47">
        <f>H29*'S2'!D11</f>
        <v>4400000</v>
      </c>
      <c r="G29" s="8">
        <f t="shared" si="4"/>
        <v>-3520000</v>
      </c>
      <c r="H29">
        <v>2</v>
      </c>
    </row>
    <row r="30" spans="1:12" ht="40.15" customHeight="1" x14ac:dyDescent="0.25">
      <c r="B30" s="3"/>
      <c r="C30" s="3" t="s">
        <v>29</v>
      </c>
      <c r="D30" s="6">
        <v>2</v>
      </c>
      <c r="E30" s="7" t="s">
        <v>2</v>
      </c>
      <c r="F30" s="47">
        <v>750000</v>
      </c>
      <c r="G30" s="8">
        <f t="shared" si="4"/>
        <v>1500000</v>
      </c>
    </row>
    <row r="31" spans="1:12" ht="40.15" customHeight="1" x14ac:dyDescent="0.25">
      <c r="B31" s="3"/>
      <c r="C31" s="3" t="s">
        <v>6</v>
      </c>
      <c r="D31" s="6">
        <v>2</v>
      </c>
      <c r="E31" s="7" t="s">
        <v>2</v>
      </c>
      <c r="F31" s="47">
        <v>850000</v>
      </c>
      <c r="G31" s="8">
        <f t="shared" si="4"/>
        <v>1700000</v>
      </c>
    </row>
    <row r="32" spans="1:12" ht="40.15" customHeight="1" x14ac:dyDescent="0.25">
      <c r="B32" s="3"/>
      <c r="C32" s="3" t="s">
        <v>7</v>
      </c>
      <c r="D32" s="6">
        <v>1</v>
      </c>
      <c r="E32" s="7" t="s">
        <v>2</v>
      </c>
      <c r="F32" s="47">
        <v>2500000</v>
      </c>
      <c r="G32" s="8">
        <f t="shared" si="4"/>
        <v>2500000</v>
      </c>
    </row>
    <row r="33" spans="2:8" ht="40.15" customHeight="1" x14ac:dyDescent="0.25">
      <c r="B33" s="3"/>
      <c r="C33" s="3" t="s">
        <v>8</v>
      </c>
      <c r="D33" s="6">
        <v>1</v>
      </c>
      <c r="E33" s="7" t="s">
        <v>2</v>
      </c>
      <c r="F33" s="47">
        <v>1400000</v>
      </c>
      <c r="G33" s="8">
        <f t="shared" si="4"/>
        <v>1400000</v>
      </c>
    </row>
    <row r="34" spans="2:8" ht="40.15" customHeight="1" x14ac:dyDescent="0.25">
      <c r="B34" s="3"/>
      <c r="C34" s="3" t="s">
        <v>9</v>
      </c>
      <c r="D34" s="6">
        <v>6</v>
      </c>
      <c r="E34" s="7" t="s">
        <v>2</v>
      </c>
      <c r="F34" s="48">
        <v>40000</v>
      </c>
      <c r="G34" s="8">
        <f t="shared" si="4"/>
        <v>240000</v>
      </c>
    </row>
    <row r="35" spans="2:8" ht="40.15" customHeight="1" x14ac:dyDescent="0.25">
      <c r="B35" s="3"/>
      <c r="C35" s="3" t="s">
        <v>10</v>
      </c>
      <c r="D35" s="6">
        <v>1</v>
      </c>
      <c r="E35" s="7" t="s">
        <v>2</v>
      </c>
      <c r="F35" s="48">
        <v>60000</v>
      </c>
      <c r="G35" s="8">
        <f t="shared" si="4"/>
        <v>60000</v>
      </c>
    </row>
    <row r="36" spans="2:8" ht="40.15" customHeight="1" x14ac:dyDescent="0.25">
      <c r="B36" s="3"/>
      <c r="C36" s="3" t="s">
        <v>11</v>
      </c>
      <c r="D36" s="6">
        <v>5</v>
      </c>
      <c r="E36" s="9" t="s">
        <v>12</v>
      </c>
      <c r="F36" s="47">
        <f>'S2'!D12</f>
        <v>450000</v>
      </c>
      <c r="G36" s="8">
        <f t="shared" si="4"/>
        <v>2250000</v>
      </c>
    </row>
    <row r="37" spans="2:8" ht="40.15" customHeight="1" x14ac:dyDescent="0.25">
      <c r="B37" s="10"/>
      <c r="C37" s="10"/>
      <c r="D37" s="197">
        <f>SUM(G25:G36)</f>
        <v>220355000</v>
      </c>
      <c r="E37" s="198"/>
      <c r="F37" s="198"/>
      <c r="G37" s="199"/>
    </row>
    <row r="39" spans="2:8" ht="21" x14ac:dyDescent="0.25">
      <c r="B39" s="1"/>
      <c r="C39" s="1"/>
      <c r="D39" s="200" t="s">
        <v>31</v>
      </c>
      <c r="E39" s="200"/>
      <c r="F39" s="200"/>
      <c r="G39" s="2"/>
    </row>
    <row r="40" spans="2:8" x14ac:dyDescent="0.25">
      <c r="B40" s="3" t="s">
        <v>42</v>
      </c>
      <c r="C40" s="40">
        <f>2+'S2'!F10</f>
        <v>2</v>
      </c>
      <c r="D40" s="4" t="s">
        <v>0</v>
      </c>
      <c r="E40" s="4" t="s">
        <v>1</v>
      </c>
      <c r="F40" s="5" t="s">
        <v>28</v>
      </c>
      <c r="G40" s="2"/>
    </row>
    <row r="41" spans="2:8" ht="40.15" customHeight="1" x14ac:dyDescent="0.25">
      <c r="B41" s="3"/>
      <c r="C41" s="37" t="s">
        <v>32</v>
      </c>
      <c r="D41" s="39">
        <f>C40*'S2'!D3</f>
        <v>0</v>
      </c>
      <c r="E41" s="7" t="s">
        <v>4</v>
      </c>
      <c r="F41" s="47">
        <f>H41*'S2'!D11</f>
        <v>13420000</v>
      </c>
      <c r="G41" s="8">
        <f t="shared" ref="G41:G48" si="5">F41*D41</f>
        <v>0</v>
      </c>
      <c r="H41">
        <v>6.1</v>
      </c>
    </row>
    <row r="42" spans="2:8" ht="40.15" customHeight="1" x14ac:dyDescent="0.25">
      <c r="B42" s="3"/>
      <c r="C42" s="3" t="s">
        <v>35</v>
      </c>
      <c r="D42" s="6">
        <f>(D41*2)+(C40*0.6)</f>
        <v>1.2</v>
      </c>
      <c r="E42" s="7" t="s">
        <v>2</v>
      </c>
      <c r="F42" s="47">
        <v>1800000</v>
      </c>
      <c r="G42" s="8">
        <f t="shared" si="5"/>
        <v>2160000</v>
      </c>
    </row>
    <row r="43" spans="2:8" ht="40.15" customHeight="1" x14ac:dyDescent="0.25">
      <c r="B43" s="3"/>
      <c r="C43" s="3" t="s">
        <v>36</v>
      </c>
      <c r="D43" s="6">
        <f>D41/0.25</f>
        <v>0</v>
      </c>
      <c r="E43" s="7" t="s">
        <v>4</v>
      </c>
      <c r="F43" s="47">
        <v>1200000</v>
      </c>
      <c r="G43" s="8">
        <f t="shared" si="5"/>
        <v>0</v>
      </c>
    </row>
    <row r="44" spans="2:8" ht="40.15" customHeight="1" x14ac:dyDescent="0.25">
      <c r="B44" s="3"/>
      <c r="C44" s="3" t="s">
        <v>38</v>
      </c>
      <c r="D44" s="6">
        <f>'S2'!D4*2</f>
        <v>0</v>
      </c>
      <c r="E44" s="7" t="s">
        <v>4</v>
      </c>
      <c r="F44" s="47">
        <v>2500000</v>
      </c>
      <c r="G44" s="8">
        <f t="shared" si="5"/>
        <v>0</v>
      </c>
    </row>
    <row r="45" spans="2:8" ht="40.15" customHeight="1" x14ac:dyDescent="0.25">
      <c r="B45" s="3"/>
      <c r="C45" s="3" t="s">
        <v>39</v>
      </c>
      <c r="D45" s="39">
        <f>C40</f>
        <v>2</v>
      </c>
      <c r="E45" s="7" t="s">
        <v>2</v>
      </c>
      <c r="F45" s="48">
        <v>200000</v>
      </c>
      <c r="G45" s="8">
        <f t="shared" si="5"/>
        <v>400000</v>
      </c>
    </row>
    <row r="46" spans="2:8" ht="40.15" customHeight="1" x14ac:dyDescent="0.25">
      <c r="B46" s="3"/>
      <c r="C46" s="3" t="s">
        <v>40</v>
      </c>
      <c r="D46" s="6">
        <f>12*C40</f>
        <v>24</v>
      </c>
      <c r="E46" s="7" t="s">
        <v>2</v>
      </c>
      <c r="F46" s="48">
        <v>40000</v>
      </c>
      <c r="G46" s="8">
        <f t="shared" si="5"/>
        <v>960000</v>
      </c>
    </row>
    <row r="47" spans="2:8" ht="40.15" customHeight="1" x14ac:dyDescent="0.25">
      <c r="B47" s="3"/>
      <c r="C47" s="3" t="s">
        <v>41</v>
      </c>
      <c r="D47" s="6">
        <f>D46</f>
        <v>24</v>
      </c>
      <c r="E47" s="7" t="s">
        <v>2</v>
      </c>
      <c r="F47" s="2">
        <v>60000</v>
      </c>
      <c r="G47" s="8">
        <f t="shared" si="5"/>
        <v>1440000</v>
      </c>
    </row>
    <row r="48" spans="2:8" ht="40.15" customHeight="1" x14ac:dyDescent="0.25">
      <c r="B48" s="3"/>
      <c r="C48" s="3" t="s">
        <v>11</v>
      </c>
      <c r="D48" s="6">
        <f>H41*D41</f>
        <v>0</v>
      </c>
      <c r="E48" s="9" t="s">
        <v>12</v>
      </c>
      <c r="F48" s="47">
        <f>'S2'!D12</f>
        <v>450000</v>
      </c>
      <c r="G48" s="8">
        <f t="shared" si="5"/>
        <v>0</v>
      </c>
    </row>
    <row r="49" spans="2:7" ht="40.15" customHeight="1" x14ac:dyDescent="0.25">
      <c r="B49" s="10"/>
      <c r="C49" s="10"/>
      <c r="D49" s="197">
        <f>SUM(G41:G48)</f>
        <v>4960000</v>
      </c>
      <c r="E49" s="198"/>
      <c r="F49" s="198"/>
      <c r="G49" s="199"/>
    </row>
    <row r="52" spans="2:7" ht="21" x14ac:dyDescent="0.25">
      <c r="B52" s="1"/>
      <c r="C52" s="1"/>
      <c r="D52" s="200" t="s">
        <v>43</v>
      </c>
      <c r="E52" s="200"/>
      <c r="F52" s="200"/>
      <c r="G52" s="2"/>
    </row>
    <row r="53" spans="2:7" x14ac:dyDescent="0.25">
      <c r="B53" s="3" t="s">
        <v>42</v>
      </c>
      <c r="C53" s="40">
        <f>2+'S2'!F10</f>
        <v>2</v>
      </c>
      <c r="D53" s="4" t="s">
        <v>0</v>
      </c>
      <c r="E53" s="4" t="s">
        <v>1</v>
      </c>
      <c r="F53" s="5" t="s">
        <v>28</v>
      </c>
      <c r="G53" s="2"/>
    </row>
    <row r="54" spans="2:7" ht="40.15" customHeight="1" x14ac:dyDescent="0.25">
      <c r="B54" s="3"/>
      <c r="C54" s="3" t="s">
        <v>44</v>
      </c>
      <c r="D54" s="39">
        <f>C53</f>
        <v>2</v>
      </c>
      <c r="E54" s="7" t="s">
        <v>2</v>
      </c>
      <c r="F54" s="47">
        <v>2100000</v>
      </c>
      <c r="G54" s="8">
        <f t="shared" ref="G54:G65" si="6">F54*D54</f>
        <v>4200000</v>
      </c>
    </row>
    <row r="55" spans="2:7" ht="40.15" customHeight="1" x14ac:dyDescent="0.25">
      <c r="B55" s="3"/>
      <c r="C55" s="3" t="s">
        <v>45</v>
      </c>
      <c r="D55" s="39">
        <f>C53</f>
        <v>2</v>
      </c>
      <c r="E55" s="7" t="s">
        <v>2</v>
      </c>
      <c r="F55" s="47">
        <v>1500000</v>
      </c>
      <c r="G55" s="8">
        <f t="shared" si="6"/>
        <v>3000000</v>
      </c>
    </row>
    <row r="56" spans="2:7" ht="40.15" customHeight="1" x14ac:dyDescent="0.25">
      <c r="B56" s="3"/>
      <c r="C56" s="3" t="s">
        <v>46</v>
      </c>
      <c r="D56" s="6">
        <f>2*C53</f>
        <v>4</v>
      </c>
      <c r="E56" s="7" t="s">
        <v>2</v>
      </c>
      <c r="F56" s="47">
        <v>250000</v>
      </c>
      <c r="G56" s="8">
        <f t="shared" si="6"/>
        <v>1000000</v>
      </c>
    </row>
    <row r="57" spans="2:7" ht="40.15" customHeight="1" x14ac:dyDescent="0.25">
      <c r="B57" s="3"/>
      <c r="C57" s="3" t="s">
        <v>50</v>
      </c>
      <c r="D57" s="6">
        <f>2*C53</f>
        <v>4</v>
      </c>
      <c r="E57" s="7" t="s">
        <v>2</v>
      </c>
      <c r="F57" s="2">
        <v>50000</v>
      </c>
      <c r="G57" s="8">
        <f t="shared" si="6"/>
        <v>200000</v>
      </c>
    </row>
    <row r="58" spans="2:7" ht="40.15" customHeight="1" x14ac:dyDescent="0.25">
      <c r="B58" s="3"/>
      <c r="C58" s="3" t="s">
        <v>27</v>
      </c>
      <c r="D58" s="39">
        <f>D54</f>
        <v>2</v>
      </c>
      <c r="E58" s="7" t="s">
        <v>4</v>
      </c>
      <c r="F58" s="47">
        <v>350000</v>
      </c>
      <c r="G58" s="8">
        <f t="shared" si="6"/>
        <v>700000</v>
      </c>
    </row>
    <row r="59" spans="2:7" ht="40.15" customHeight="1" x14ac:dyDescent="0.25">
      <c r="B59" s="3"/>
      <c r="C59" s="3" t="s">
        <v>29</v>
      </c>
      <c r="D59" s="6">
        <v>2</v>
      </c>
      <c r="E59" s="7" t="s">
        <v>2</v>
      </c>
      <c r="F59" s="47">
        <v>750000</v>
      </c>
      <c r="G59" s="8">
        <f t="shared" si="6"/>
        <v>1500000</v>
      </c>
    </row>
    <row r="60" spans="2:7" ht="40.15" customHeight="1" x14ac:dyDescent="0.25">
      <c r="B60" s="3"/>
      <c r="C60" s="3" t="s">
        <v>5</v>
      </c>
      <c r="D60" s="38">
        <f>0.25*C53</f>
        <v>0.5</v>
      </c>
      <c r="E60" s="7" t="s">
        <v>2</v>
      </c>
      <c r="F60" s="47">
        <v>7000000</v>
      </c>
      <c r="G60" s="8">
        <f t="shared" si="6"/>
        <v>3500000</v>
      </c>
    </row>
    <row r="61" spans="2:7" ht="40.15" customHeight="1" x14ac:dyDescent="0.25">
      <c r="B61" s="3"/>
      <c r="C61" s="3" t="s">
        <v>6</v>
      </c>
      <c r="D61" s="6">
        <v>2</v>
      </c>
      <c r="E61" s="7" t="s">
        <v>2</v>
      </c>
      <c r="F61" s="47">
        <v>850000</v>
      </c>
      <c r="G61" s="8">
        <f t="shared" si="6"/>
        <v>1700000</v>
      </c>
    </row>
    <row r="62" spans="2:7" ht="40.15" customHeight="1" x14ac:dyDescent="0.25">
      <c r="B62" s="3"/>
      <c r="C62" s="3" t="s">
        <v>48</v>
      </c>
      <c r="D62" s="6">
        <f>D58*2</f>
        <v>4</v>
      </c>
      <c r="E62" s="7" t="s">
        <v>2</v>
      </c>
      <c r="F62" s="2">
        <v>60000</v>
      </c>
      <c r="G62" s="8">
        <f t="shared" si="6"/>
        <v>240000</v>
      </c>
    </row>
    <row r="63" spans="2:7" ht="40.15" customHeight="1" x14ac:dyDescent="0.25">
      <c r="B63" s="3"/>
      <c r="C63" s="3" t="s">
        <v>49</v>
      </c>
      <c r="D63" s="6">
        <f>4*C53</f>
        <v>8</v>
      </c>
      <c r="E63" s="7" t="s">
        <v>2</v>
      </c>
      <c r="F63" s="2">
        <v>60000</v>
      </c>
      <c r="G63" s="8">
        <f t="shared" si="6"/>
        <v>480000</v>
      </c>
    </row>
    <row r="64" spans="2:7" ht="40.15" customHeight="1" x14ac:dyDescent="0.25">
      <c r="B64" s="3"/>
      <c r="C64" s="3" t="s">
        <v>47</v>
      </c>
      <c r="D64" s="39">
        <f>C53</f>
        <v>2</v>
      </c>
      <c r="E64" s="7" t="s">
        <v>2</v>
      </c>
      <c r="F64" s="2">
        <v>350000</v>
      </c>
      <c r="G64" s="8">
        <f t="shared" si="6"/>
        <v>700000</v>
      </c>
    </row>
    <row r="65" spans="2:7" ht="40.15" customHeight="1" x14ac:dyDescent="0.25">
      <c r="B65" s="3"/>
      <c r="C65" s="3" t="s">
        <v>11</v>
      </c>
      <c r="D65" s="6">
        <f>4*C53</f>
        <v>8</v>
      </c>
      <c r="E65" s="9" t="s">
        <v>12</v>
      </c>
      <c r="F65" s="47">
        <f>'S2'!D12</f>
        <v>450000</v>
      </c>
      <c r="G65" s="8">
        <f t="shared" si="6"/>
        <v>3600000</v>
      </c>
    </row>
    <row r="66" spans="2:7" ht="40.15" customHeight="1" x14ac:dyDescent="0.25">
      <c r="B66" s="10"/>
      <c r="C66" s="10"/>
      <c r="D66" s="197">
        <f>SUM(G54:G65)</f>
        <v>20820000</v>
      </c>
      <c r="E66" s="198"/>
      <c r="F66" s="198"/>
      <c r="G66" s="199"/>
    </row>
    <row r="69" spans="2:7" ht="21" x14ac:dyDescent="0.25">
      <c r="B69" s="1"/>
      <c r="C69" s="1"/>
      <c r="D69" s="200" t="s">
        <v>51</v>
      </c>
      <c r="E69" s="200"/>
      <c r="F69" s="200"/>
      <c r="G69" s="2"/>
    </row>
    <row r="70" spans="2:7" x14ac:dyDescent="0.25">
      <c r="B70" s="3" t="s">
        <v>42</v>
      </c>
      <c r="C70" s="40">
        <f>2+'S2'!F10</f>
        <v>2</v>
      </c>
      <c r="D70" s="4" t="s">
        <v>0</v>
      </c>
      <c r="E70" s="4" t="s">
        <v>1</v>
      </c>
      <c r="F70" s="5" t="s">
        <v>28</v>
      </c>
      <c r="G70" s="2"/>
    </row>
    <row r="71" spans="2:7" ht="40.15" customHeight="1" x14ac:dyDescent="0.25">
      <c r="B71" s="3"/>
      <c r="C71" s="3" t="s">
        <v>44</v>
      </c>
      <c r="D71" s="39">
        <f>C70</f>
        <v>2</v>
      </c>
      <c r="E71" s="7" t="s">
        <v>2</v>
      </c>
      <c r="F71" s="47">
        <v>3500000</v>
      </c>
      <c r="G71" s="8">
        <f t="shared" ref="G71:G77" si="7">F71*D71</f>
        <v>7000000</v>
      </c>
    </row>
    <row r="72" spans="2:7" ht="40.15" customHeight="1" x14ac:dyDescent="0.25">
      <c r="B72" s="3"/>
      <c r="C72" s="3" t="s">
        <v>52</v>
      </c>
      <c r="D72" s="39">
        <f>C70</f>
        <v>2</v>
      </c>
      <c r="E72" s="7" t="s">
        <v>2</v>
      </c>
      <c r="F72" s="47">
        <v>1300000</v>
      </c>
      <c r="G72" s="8">
        <f t="shared" si="7"/>
        <v>2600000</v>
      </c>
    </row>
    <row r="73" spans="2:7" ht="40.15" customHeight="1" x14ac:dyDescent="0.25">
      <c r="B73" s="3"/>
      <c r="C73" s="3" t="s">
        <v>53</v>
      </c>
      <c r="D73" s="39">
        <f>C70</f>
        <v>2</v>
      </c>
      <c r="E73" s="7" t="s">
        <v>2</v>
      </c>
      <c r="F73" s="47">
        <v>470000</v>
      </c>
      <c r="G73" s="8">
        <f t="shared" si="7"/>
        <v>940000</v>
      </c>
    </row>
    <row r="74" spans="2:7" ht="40.15" customHeight="1" x14ac:dyDescent="0.25">
      <c r="B74" s="3"/>
      <c r="C74" s="3" t="s">
        <v>54</v>
      </c>
      <c r="D74" s="6">
        <f>2*C70</f>
        <v>4</v>
      </c>
      <c r="E74" s="7" t="s">
        <v>2</v>
      </c>
      <c r="F74" s="2">
        <v>50000</v>
      </c>
      <c r="G74" s="8">
        <f t="shared" si="7"/>
        <v>200000</v>
      </c>
    </row>
    <row r="75" spans="2:7" ht="40.15" customHeight="1" x14ac:dyDescent="0.25">
      <c r="B75" s="3"/>
      <c r="C75" s="3" t="s">
        <v>55</v>
      </c>
      <c r="D75" s="39">
        <f>D72</f>
        <v>2</v>
      </c>
      <c r="E75" s="7" t="s">
        <v>2</v>
      </c>
      <c r="F75" s="2">
        <v>60000</v>
      </c>
      <c r="G75" s="8">
        <f t="shared" si="7"/>
        <v>120000</v>
      </c>
    </row>
    <row r="76" spans="2:7" ht="40.15" customHeight="1" x14ac:dyDescent="0.25">
      <c r="B76" s="3"/>
      <c r="C76" s="3" t="s">
        <v>47</v>
      </c>
      <c r="D76" s="39">
        <f>C70</f>
        <v>2</v>
      </c>
      <c r="E76" s="7" t="s">
        <v>2</v>
      </c>
      <c r="F76" s="2">
        <v>350000</v>
      </c>
      <c r="G76" s="8">
        <f t="shared" si="7"/>
        <v>700000</v>
      </c>
    </row>
    <row r="77" spans="2:7" ht="40.15" customHeight="1" x14ac:dyDescent="0.25">
      <c r="B77" s="3"/>
      <c r="C77" s="3" t="s">
        <v>11</v>
      </c>
      <c r="D77" s="6">
        <f>4*C70</f>
        <v>8</v>
      </c>
      <c r="E77" s="9" t="s">
        <v>12</v>
      </c>
      <c r="F77" s="47">
        <f>'S2'!D12</f>
        <v>450000</v>
      </c>
      <c r="G77" s="8">
        <f t="shared" si="7"/>
        <v>3600000</v>
      </c>
    </row>
    <row r="78" spans="2:7" ht="40.15" customHeight="1" x14ac:dyDescent="0.25">
      <c r="B78" s="10"/>
      <c r="C78" s="10"/>
      <c r="D78" s="197">
        <f>SUM(G71:G77)</f>
        <v>15160000</v>
      </c>
      <c r="E78" s="198"/>
      <c r="F78" s="198"/>
      <c r="G78" s="199"/>
    </row>
    <row r="81" spans="2:8" ht="21" x14ac:dyDescent="0.25">
      <c r="B81" s="1"/>
      <c r="C81" s="1"/>
      <c r="D81" s="200" t="s">
        <v>56</v>
      </c>
      <c r="E81" s="200"/>
      <c r="F81" s="200"/>
      <c r="G81" s="2"/>
    </row>
    <row r="82" spans="2:8" x14ac:dyDescent="0.25">
      <c r="B82" s="3" t="s">
        <v>59</v>
      </c>
      <c r="C82" s="40">
        <f>'S2'!D3/0.25</f>
        <v>0</v>
      </c>
      <c r="D82" s="4" t="s">
        <v>0</v>
      </c>
      <c r="E82" s="4" t="s">
        <v>1</v>
      </c>
      <c r="F82" s="5" t="s">
        <v>28</v>
      </c>
      <c r="G82" s="2"/>
    </row>
    <row r="83" spans="2:8" ht="40.15" customHeight="1" x14ac:dyDescent="0.25">
      <c r="B83" s="3"/>
      <c r="C83" s="3" t="s">
        <v>57</v>
      </c>
      <c r="D83" s="39">
        <f>(C82*'S2'!D4)</f>
        <v>0</v>
      </c>
      <c r="E83" s="7" t="s">
        <v>2</v>
      </c>
      <c r="F83" s="47">
        <f>H83*'S2'!$D$11</f>
        <v>7194000</v>
      </c>
      <c r="G83" s="8">
        <f t="shared" ref="G83:G91" si="8">F83*D83</f>
        <v>0</v>
      </c>
      <c r="H83">
        <v>3.27</v>
      </c>
    </row>
    <row r="84" spans="2:8" ht="40.15" customHeight="1" x14ac:dyDescent="0.25">
      <c r="B84" s="3"/>
      <c r="C84" s="3" t="s">
        <v>58</v>
      </c>
      <c r="D84" s="39">
        <f>C82*2</f>
        <v>0</v>
      </c>
      <c r="E84" s="7" t="s">
        <v>2</v>
      </c>
      <c r="F84" s="47">
        <v>450000</v>
      </c>
      <c r="G84" s="8">
        <f t="shared" si="8"/>
        <v>0</v>
      </c>
    </row>
    <row r="85" spans="2:8" ht="40.15" customHeight="1" x14ac:dyDescent="0.25">
      <c r="B85" s="3"/>
      <c r="C85" s="3" t="s">
        <v>60</v>
      </c>
      <c r="D85" s="39">
        <f>D43</f>
        <v>0</v>
      </c>
      <c r="E85" s="7" t="s">
        <v>2</v>
      </c>
      <c r="F85" s="47">
        <v>550000</v>
      </c>
      <c r="G85" s="8">
        <f t="shared" si="8"/>
        <v>0</v>
      </c>
    </row>
    <row r="86" spans="2:8" ht="40.15" customHeight="1" x14ac:dyDescent="0.25">
      <c r="B86" s="3"/>
      <c r="C86" s="3" t="s">
        <v>61</v>
      </c>
      <c r="D86" s="6">
        <f>'S2'!D3*2</f>
        <v>0</v>
      </c>
      <c r="E86" s="7" t="s">
        <v>4</v>
      </c>
      <c r="F86" s="47">
        <f>H86*'S2'!D11</f>
        <v>2860000</v>
      </c>
      <c r="G86" s="8">
        <f t="shared" si="8"/>
        <v>0</v>
      </c>
      <c r="H86">
        <v>1.3</v>
      </c>
    </row>
    <row r="87" spans="2:8" ht="40.15" customHeight="1" x14ac:dyDescent="0.25">
      <c r="B87" s="3"/>
      <c r="C87" s="3" t="s">
        <v>62</v>
      </c>
      <c r="D87" s="39">
        <v>6</v>
      </c>
      <c r="E87" s="7" t="s">
        <v>2</v>
      </c>
      <c r="F87" s="47">
        <v>1200000</v>
      </c>
      <c r="G87" s="8">
        <f t="shared" si="8"/>
        <v>7200000</v>
      </c>
    </row>
    <row r="88" spans="2:8" ht="40.15" customHeight="1" x14ac:dyDescent="0.25">
      <c r="B88" s="3"/>
      <c r="C88" s="3" t="s">
        <v>63</v>
      </c>
      <c r="D88" s="39">
        <f>D87</f>
        <v>6</v>
      </c>
      <c r="E88" s="7" t="s">
        <v>2</v>
      </c>
      <c r="F88" s="47">
        <v>350000</v>
      </c>
      <c r="G88" s="8">
        <f t="shared" si="8"/>
        <v>2100000</v>
      </c>
    </row>
    <row r="89" spans="2:8" ht="40.15" customHeight="1" x14ac:dyDescent="0.25">
      <c r="B89" s="3"/>
      <c r="C89" s="3" t="s">
        <v>53</v>
      </c>
      <c r="D89" s="39">
        <f>D87</f>
        <v>6</v>
      </c>
      <c r="E89" s="7" t="s">
        <v>2</v>
      </c>
      <c r="F89" s="47">
        <v>470000</v>
      </c>
      <c r="G89" s="8">
        <f t="shared" si="8"/>
        <v>2820000</v>
      </c>
    </row>
    <row r="90" spans="2:8" ht="40.15" customHeight="1" x14ac:dyDescent="0.25">
      <c r="B90" s="3"/>
      <c r="C90" s="3" t="s">
        <v>64</v>
      </c>
      <c r="D90" s="39">
        <v>2</v>
      </c>
      <c r="E90" s="7" t="s">
        <v>2</v>
      </c>
      <c r="F90" s="47">
        <v>90000000</v>
      </c>
      <c r="G90" s="8">
        <f t="shared" si="8"/>
        <v>180000000</v>
      </c>
    </row>
    <row r="91" spans="2:8" ht="40.15" customHeight="1" x14ac:dyDescent="0.25">
      <c r="B91" s="3"/>
      <c r="C91" s="3" t="s">
        <v>11</v>
      </c>
      <c r="D91" s="6">
        <f>((H83*D83)+(H86*D86))</f>
        <v>0</v>
      </c>
      <c r="E91" s="9" t="s">
        <v>12</v>
      </c>
      <c r="F91" s="47">
        <f>'S2'!D12</f>
        <v>450000</v>
      </c>
      <c r="G91" s="8">
        <f t="shared" si="8"/>
        <v>0</v>
      </c>
    </row>
    <row r="92" spans="2:8" ht="40.15" customHeight="1" x14ac:dyDescent="0.25">
      <c r="B92" s="10"/>
      <c r="C92" s="10"/>
      <c r="D92" s="197">
        <f>SUM(G83:G91)</f>
        <v>192120000</v>
      </c>
      <c r="E92" s="198"/>
      <c r="F92" s="198"/>
      <c r="G92" s="199"/>
    </row>
    <row r="95" spans="2:8" ht="21" x14ac:dyDescent="0.25">
      <c r="B95" s="1"/>
      <c r="C95" s="1"/>
      <c r="D95" s="200" t="s">
        <v>65</v>
      </c>
      <c r="E95" s="200"/>
      <c r="F95" s="200"/>
      <c r="G95" s="2"/>
    </row>
    <row r="96" spans="2:8" x14ac:dyDescent="0.25">
      <c r="B96" s="3" t="s">
        <v>42</v>
      </c>
      <c r="C96" s="40">
        <f>C40</f>
        <v>2</v>
      </c>
      <c r="D96" s="4" t="s">
        <v>0</v>
      </c>
      <c r="E96" s="4" t="s">
        <v>1</v>
      </c>
      <c r="F96" s="5" t="s">
        <v>28</v>
      </c>
      <c r="G96" s="2"/>
    </row>
    <row r="97" spans="2:9" ht="40.15" customHeight="1" x14ac:dyDescent="0.25">
      <c r="B97" s="3"/>
      <c r="C97" s="3" t="s">
        <v>66</v>
      </c>
      <c r="D97" s="39">
        <f>C96*2*2.75</f>
        <v>11</v>
      </c>
      <c r="E97" s="7" t="s">
        <v>4</v>
      </c>
      <c r="F97" s="47">
        <f>H97*'S2'!$D$11</f>
        <v>9350000</v>
      </c>
      <c r="G97" s="8">
        <f t="shared" ref="G97:G105" si="9">F97*D97</f>
        <v>102850000</v>
      </c>
      <c r="H97">
        <v>4.25</v>
      </c>
      <c r="I97" s="100">
        <f>H97*D97</f>
        <v>46.75</v>
      </c>
    </row>
    <row r="98" spans="2:9" ht="40.15" customHeight="1" x14ac:dyDescent="0.25">
      <c r="B98" s="3"/>
      <c r="C98" s="3" t="s">
        <v>67</v>
      </c>
      <c r="D98" s="39">
        <f>('S2'!D3+'S2'!D4)*2</f>
        <v>0</v>
      </c>
      <c r="E98" s="7" t="s">
        <v>4</v>
      </c>
      <c r="F98" s="47">
        <f>H98*'S2'!$D$11</f>
        <v>8910000</v>
      </c>
      <c r="G98" s="8">
        <f t="shared" si="9"/>
        <v>0</v>
      </c>
      <c r="H98">
        <v>4.05</v>
      </c>
      <c r="I98" s="100">
        <f t="shared" ref="I98:I100" si="10">H98*D98</f>
        <v>0</v>
      </c>
    </row>
    <row r="99" spans="2:9" ht="40.15" customHeight="1" x14ac:dyDescent="0.25">
      <c r="B99" s="3"/>
      <c r="C99" s="3" t="s">
        <v>68</v>
      </c>
      <c r="D99" s="39">
        <f>D98</f>
        <v>0</v>
      </c>
      <c r="E99" s="7" t="s">
        <v>4</v>
      </c>
      <c r="F99" s="47">
        <f>H99*'S2'!$D$11</f>
        <v>2919400</v>
      </c>
      <c r="G99" s="8">
        <f t="shared" si="9"/>
        <v>0</v>
      </c>
      <c r="H99">
        <v>1.327</v>
      </c>
      <c r="I99" s="100">
        <f t="shared" si="10"/>
        <v>0</v>
      </c>
    </row>
    <row r="100" spans="2:9" ht="40.15" customHeight="1" x14ac:dyDescent="0.25">
      <c r="B100" s="3"/>
      <c r="C100" s="3" t="s">
        <v>69</v>
      </c>
      <c r="D100" s="38">
        <f>'S2'!D4*2</f>
        <v>0</v>
      </c>
      <c r="E100" s="7" t="s">
        <v>4</v>
      </c>
      <c r="F100" s="47">
        <f>H100*'S2'!$D$11</f>
        <v>3432000</v>
      </c>
      <c r="G100" s="8">
        <f t="shared" si="9"/>
        <v>0</v>
      </c>
      <c r="H100">
        <v>1.56</v>
      </c>
      <c r="I100" s="100">
        <f t="shared" si="10"/>
        <v>0</v>
      </c>
    </row>
    <row r="101" spans="2:9" ht="40.15" customHeight="1" x14ac:dyDescent="0.25">
      <c r="B101" s="3"/>
      <c r="C101" s="3" t="s">
        <v>70</v>
      </c>
      <c r="D101" s="39">
        <v>6</v>
      </c>
      <c r="E101" s="7" t="s">
        <v>2</v>
      </c>
      <c r="F101" s="47">
        <v>1200000</v>
      </c>
      <c r="G101" s="8">
        <f t="shared" si="9"/>
        <v>7200000</v>
      </c>
    </row>
    <row r="102" spans="2:9" ht="40.15" customHeight="1" x14ac:dyDescent="0.25">
      <c r="B102" s="3"/>
      <c r="C102" s="3" t="s">
        <v>71</v>
      </c>
      <c r="D102" s="39">
        <f>C96*2</f>
        <v>4</v>
      </c>
      <c r="E102" s="7" t="s">
        <v>2</v>
      </c>
      <c r="F102" s="47">
        <v>8000000</v>
      </c>
      <c r="G102" s="8">
        <f t="shared" si="9"/>
        <v>32000000</v>
      </c>
    </row>
    <row r="103" spans="2:9" ht="40.15" customHeight="1" x14ac:dyDescent="0.25">
      <c r="B103" s="3"/>
      <c r="C103" s="3" t="s">
        <v>72</v>
      </c>
      <c r="D103" s="39">
        <f>D102</f>
        <v>4</v>
      </c>
      <c r="E103" s="7" t="s">
        <v>2</v>
      </c>
      <c r="F103" s="47">
        <v>4800000</v>
      </c>
      <c r="G103" s="8">
        <f>F103*D103</f>
        <v>19200000</v>
      </c>
    </row>
    <row r="104" spans="2:9" ht="40.15" customHeight="1" x14ac:dyDescent="0.25">
      <c r="B104" s="3"/>
      <c r="C104" s="3" t="s">
        <v>73</v>
      </c>
      <c r="D104" s="39">
        <f>C96*2</f>
        <v>4</v>
      </c>
      <c r="E104" s="7" t="s">
        <v>4</v>
      </c>
      <c r="F104" s="47">
        <v>3700000</v>
      </c>
      <c r="G104" s="8">
        <f>F104*D104</f>
        <v>14800000</v>
      </c>
    </row>
    <row r="105" spans="2:9" ht="40.15" customHeight="1" x14ac:dyDescent="0.25">
      <c r="B105" s="3"/>
      <c r="C105" s="3" t="s">
        <v>11</v>
      </c>
      <c r="D105" s="6">
        <f>((H97*D97)+(H98*D98)+(H99*D99)+(H100*D100))</f>
        <v>46.75</v>
      </c>
      <c r="E105" s="9" t="s">
        <v>12</v>
      </c>
      <c r="F105" s="47">
        <f>'S2'!D12</f>
        <v>450000</v>
      </c>
      <c r="G105" s="8">
        <f t="shared" si="9"/>
        <v>21037500</v>
      </c>
    </row>
    <row r="106" spans="2:9" ht="40.15" customHeight="1" x14ac:dyDescent="0.25">
      <c r="B106" s="10"/>
      <c r="C106" s="10"/>
      <c r="D106" s="197">
        <f>SUM(G97:G105)</f>
        <v>197087500</v>
      </c>
      <c r="E106" s="198"/>
      <c r="F106" s="198"/>
      <c r="G106" s="199"/>
    </row>
    <row r="109" spans="2:9" ht="21" x14ac:dyDescent="0.25">
      <c r="B109" s="10"/>
      <c r="C109" s="10"/>
      <c r="D109" s="197">
        <f>D106-G97-G104-(0.4*G105)</f>
        <v>71022500</v>
      </c>
      <c r="E109" s="198"/>
      <c r="F109" s="198"/>
      <c r="G109" s="199"/>
    </row>
  </sheetData>
  <mergeCells count="36">
    <mergeCell ref="D92:G92"/>
    <mergeCell ref="D95:F95"/>
    <mergeCell ref="D106:G106"/>
    <mergeCell ref="D109:G109"/>
    <mergeCell ref="D49:G49"/>
    <mergeCell ref="D52:F52"/>
    <mergeCell ref="D66:G66"/>
    <mergeCell ref="D69:F69"/>
    <mergeCell ref="D78:G78"/>
    <mergeCell ref="D81:F81"/>
    <mergeCell ref="K15:K17"/>
    <mergeCell ref="H18:I18"/>
    <mergeCell ref="K19:K21"/>
    <mergeCell ref="D23:F23"/>
    <mergeCell ref="D37:G37"/>
    <mergeCell ref="D39:F39"/>
    <mergeCell ref="B10:B13"/>
    <mergeCell ref="D10:E10"/>
    <mergeCell ref="D11:E11"/>
    <mergeCell ref="D12:E12"/>
    <mergeCell ref="D13:E13"/>
    <mergeCell ref="D15:F15"/>
    <mergeCell ref="B6:B9"/>
    <mergeCell ref="D6:E6"/>
    <mergeCell ref="D7:E7"/>
    <mergeCell ref="D8:E8"/>
    <mergeCell ref="H8:J8"/>
    <mergeCell ref="D9:E9"/>
    <mergeCell ref="B2:B5"/>
    <mergeCell ref="D2:E2"/>
    <mergeCell ref="H2:I2"/>
    <mergeCell ref="D3:E3"/>
    <mergeCell ref="H3:I3"/>
    <mergeCell ref="D4:E4"/>
    <mergeCell ref="H4:I4"/>
    <mergeCell ref="D5:E5"/>
  </mergeCells>
  <pageMargins left="0.7" right="0.7" top="0.75" bottom="0.75" header="0.3" footer="0.3"/>
  <pageSetup orientation="portrait" horizontalDpi="1200" verticalDpi="1200" r:id="rId1"/>
  <drawing r:id="rId2"/>
  <legacyDrawing r:id="rId3"/>
  <oleObjects>
    <mc:AlternateContent xmlns:mc="http://schemas.openxmlformats.org/markup-compatibility/2006">
      <mc:Choice Requires="x14">
        <oleObject progId="AutoCAD.Drawing.24" shapeId="21505" r:id="rId4">
          <objectPr defaultSize="0" autoPict="0" r:id="rId5">
            <anchor moveWithCells="1" sizeWithCells="1">
              <from>
                <xdr:col>1</xdr:col>
                <xdr:colOff>247650</xdr:colOff>
                <xdr:row>24</xdr:row>
                <xdr:rowOff>47625</xdr:rowOff>
              </from>
              <to>
                <xdr:col>1</xdr:col>
                <xdr:colOff>1485900</xdr:colOff>
                <xdr:row>24</xdr:row>
                <xdr:rowOff>476250</xdr:rowOff>
              </to>
            </anchor>
          </objectPr>
        </oleObject>
      </mc:Choice>
      <mc:Fallback>
        <oleObject progId="AutoCAD.Drawing.24" shapeId="21505" r:id="rId4"/>
      </mc:Fallback>
    </mc:AlternateContent>
    <mc:AlternateContent xmlns:mc="http://schemas.openxmlformats.org/markup-compatibility/2006">
      <mc:Choice Requires="x14">
        <oleObject progId="AutoCAD.Drawing.24" shapeId="21506" r:id="rId6">
          <objectPr defaultSize="0" autoPict="0" r:id="rId7">
            <anchor moveWithCells="1" sizeWithCells="1">
              <from>
                <xdr:col>1</xdr:col>
                <xdr:colOff>609600</xdr:colOff>
                <xdr:row>27</xdr:row>
                <xdr:rowOff>95250</xdr:rowOff>
              </from>
              <to>
                <xdr:col>1</xdr:col>
                <xdr:colOff>1143000</xdr:colOff>
                <xdr:row>27</xdr:row>
                <xdr:rowOff>438150</xdr:rowOff>
              </to>
            </anchor>
          </objectPr>
        </oleObject>
      </mc:Choice>
      <mc:Fallback>
        <oleObject progId="AutoCAD.Drawing.24" shapeId="21506" r:id="rId6"/>
      </mc:Fallback>
    </mc:AlternateContent>
    <mc:AlternateContent xmlns:mc="http://schemas.openxmlformats.org/markup-compatibility/2006">
      <mc:Choice Requires="x14">
        <oleObject progId="AutoCAD.Drawing.24" shapeId="21507" r:id="rId8">
          <objectPr defaultSize="0" autoPict="0" r:id="rId9">
            <anchor moveWithCells="1" sizeWithCells="1">
              <from>
                <xdr:col>1</xdr:col>
                <xdr:colOff>628650</xdr:colOff>
                <xdr:row>29</xdr:row>
                <xdr:rowOff>57150</xdr:rowOff>
              </from>
              <to>
                <xdr:col>1</xdr:col>
                <xdr:colOff>1123950</xdr:colOff>
                <xdr:row>29</xdr:row>
                <xdr:rowOff>438150</xdr:rowOff>
              </to>
            </anchor>
          </objectPr>
        </oleObject>
      </mc:Choice>
      <mc:Fallback>
        <oleObject progId="AutoCAD.Drawing.24" shapeId="21507" r:id="rId8"/>
      </mc:Fallback>
    </mc:AlternateContent>
    <mc:AlternateContent xmlns:mc="http://schemas.openxmlformats.org/markup-compatibility/2006">
      <mc:Choice Requires="x14">
        <oleObject progId="AutoCAD.Drawing.24" shapeId="21508" r:id="rId10">
          <objectPr defaultSize="0" autoPict="0" r:id="rId11">
            <anchor moveWithCells="1" sizeWithCells="1">
              <from>
                <xdr:col>1</xdr:col>
                <xdr:colOff>628650</xdr:colOff>
                <xdr:row>30</xdr:row>
                <xdr:rowOff>28575</xdr:rowOff>
              </from>
              <to>
                <xdr:col>1</xdr:col>
                <xdr:colOff>1047750</xdr:colOff>
                <xdr:row>30</xdr:row>
                <xdr:rowOff>476250</xdr:rowOff>
              </to>
            </anchor>
          </objectPr>
        </oleObject>
      </mc:Choice>
      <mc:Fallback>
        <oleObject progId="AutoCAD.Drawing.24" shapeId="21508" r:id="rId10"/>
      </mc:Fallback>
    </mc:AlternateContent>
    <mc:AlternateContent xmlns:mc="http://schemas.openxmlformats.org/markup-compatibility/2006">
      <mc:Choice Requires="x14">
        <oleObject progId="AutoCAD.Drawing.24" shapeId="21509" r:id="rId12">
          <objectPr defaultSize="0" autoPict="0" r:id="rId13">
            <anchor moveWithCells="1" sizeWithCells="1">
              <from>
                <xdr:col>1</xdr:col>
                <xdr:colOff>742950</xdr:colOff>
                <xdr:row>39</xdr:row>
                <xdr:rowOff>171450</xdr:rowOff>
              </from>
              <to>
                <xdr:col>1</xdr:col>
                <xdr:colOff>1047750</xdr:colOff>
                <xdr:row>40</xdr:row>
                <xdr:rowOff>504825</xdr:rowOff>
              </to>
            </anchor>
          </objectPr>
        </oleObject>
      </mc:Choice>
      <mc:Fallback>
        <oleObject progId="AutoCAD.Drawing.24" shapeId="21509" r:id="rId12"/>
      </mc:Fallback>
    </mc:AlternateContent>
    <mc:AlternateContent xmlns:mc="http://schemas.openxmlformats.org/markup-compatibility/2006">
      <mc:Choice Requires="x14">
        <oleObject progId="AutoCAD.Drawing.24" shapeId="21510" r:id="rId14">
          <objectPr defaultSize="0" autoPict="0" r:id="rId15">
            <anchor moveWithCells="1" sizeWithCells="1">
              <from>
                <xdr:col>1</xdr:col>
                <xdr:colOff>704850</xdr:colOff>
                <xdr:row>42</xdr:row>
                <xdr:rowOff>38100</xdr:rowOff>
              </from>
              <to>
                <xdr:col>1</xdr:col>
                <xdr:colOff>1104900</xdr:colOff>
                <xdr:row>42</xdr:row>
                <xdr:rowOff>504825</xdr:rowOff>
              </to>
            </anchor>
          </objectPr>
        </oleObject>
      </mc:Choice>
      <mc:Fallback>
        <oleObject progId="AutoCAD.Drawing.24" shapeId="21510" r:id="rId14"/>
      </mc:Fallback>
    </mc:AlternateContent>
    <mc:AlternateContent xmlns:mc="http://schemas.openxmlformats.org/markup-compatibility/2006">
      <mc:Choice Requires="x14">
        <oleObject progId="AutoCAD.Drawing.24" shapeId="21511" r:id="rId16">
          <objectPr defaultSize="0" autoPict="0" r:id="rId17">
            <anchor moveWithCells="1" sizeWithCells="1">
              <from>
                <xdr:col>1</xdr:col>
                <xdr:colOff>704850</xdr:colOff>
                <xdr:row>52</xdr:row>
                <xdr:rowOff>180975</xdr:rowOff>
              </from>
              <to>
                <xdr:col>1</xdr:col>
                <xdr:colOff>1066800</xdr:colOff>
                <xdr:row>54</xdr:row>
                <xdr:rowOff>57150</xdr:rowOff>
              </to>
            </anchor>
          </objectPr>
        </oleObject>
      </mc:Choice>
      <mc:Fallback>
        <oleObject progId="AutoCAD.Drawing.24" shapeId="21511" r:id="rId16"/>
      </mc:Fallback>
    </mc:AlternateContent>
    <mc:AlternateContent xmlns:mc="http://schemas.openxmlformats.org/markup-compatibility/2006">
      <mc:Choice Requires="x14">
        <oleObject progId="AutoCAD.Drawing.24" shapeId="21512" r:id="rId18">
          <objectPr defaultSize="0" autoPict="0" r:id="rId19">
            <anchor moveWithCells="1" sizeWithCells="1">
              <from>
                <xdr:col>1</xdr:col>
                <xdr:colOff>647700</xdr:colOff>
                <xdr:row>54</xdr:row>
                <xdr:rowOff>66675</xdr:rowOff>
              </from>
              <to>
                <xdr:col>1</xdr:col>
                <xdr:colOff>1038225</xdr:colOff>
                <xdr:row>54</xdr:row>
                <xdr:rowOff>485775</xdr:rowOff>
              </to>
            </anchor>
          </objectPr>
        </oleObject>
      </mc:Choice>
      <mc:Fallback>
        <oleObject progId="AutoCAD.Drawing.24" shapeId="21512" r:id="rId18"/>
      </mc:Fallback>
    </mc:AlternateContent>
    <mc:AlternateContent xmlns:mc="http://schemas.openxmlformats.org/markup-compatibility/2006">
      <mc:Choice Requires="x14">
        <oleObject progId="AutoCAD.Drawing.24" shapeId="21513" r:id="rId20">
          <objectPr defaultSize="0" autoPict="0" r:id="rId7">
            <anchor moveWithCells="1" sizeWithCells="1">
              <from>
                <xdr:col>1</xdr:col>
                <xdr:colOff>609600</xdr:colOff>
                <xdr:row>57</xdr:row>
                <xdr:rowOff>95250</xdr:rowOff>
              </from>
              <to>
                <xdr:col>1</xdr:col>
                <xdr:colOff>1143000</xdr:colOff>
                <xdr:row>57</xdr:row>
                <xdr:rowOff>438150</xdr:rowOff>
              </to>
            </anchor>
          </objectPr>
        </oleObject>
      </mc:Choice>
      <mc:Fallback>
        <oleObject progId="AutoCAD.Drawing.24" shapeId="21513" r:id="rId20"/>
      </mc:Fallback>
    </mc:AlternateContent>
    <mc:AlternateContent xmlns:mc="http://schemas.openxmlformats.org/markup-compatibility/2006">
      <mc:Choice Requires="x14">
        <oleObject progId="AutoCAD.Drawing.24" shapeId="21514" r:id="rId21">
          <objectPr defaultSize="0" autoPict="0" r:id="rId9">
            <anchor moveWithCells="1" sizeWithCells="1">
              <from>
                <xdr:col>1</xdr:col>
                <xdr:colOff>628650</xdr:colOff>
                <xdr:row>58</xdr:row>
                <xdr:rowOff>57150</xdr:rowOff>
              </from>
              <to>
                <xdr:col>1</xdr:col>
                <xdr:colOff>1123950</xdr:colOff>
                <xdr:row>58</xdr:row>
                <xdr:rowOff>438150</xdr:rowOff>
              </to>
            </anchor>
          </objectPr>
        </oleObject>
      </mc:Choice>
      <mc:Fallback>
        <oleObject progId="AutoCAD.Drawing.24" shapeId="21514" r:id="rId21"/>
      </mc:Fallback>
    </mc:AlternateContent>
    <mc:AlternateContent xmlns:mc="http://schemas.openxmlformats.org/markup-compatibility/2006">
      <mc:Choice Requires="x14">
        <oleObject progId="AutoCAD.Drawing.24" shapeId="21515" r:id="rId22">
          <objectPr defaultSize="0" autoPict="0" r:id="rId11">
            <anchor moveWithCells="1" sizeWithCells="1">
              <from>
                <xdr:col>1</xdr:col>
                <xdr:colOff>628650</xdr:colOff>
                <xdr:row>60</xdr:row>
                <xdr:rowOff>28575</xdr:rowOff>
              </from>
              <to>
                <xdr:col>1</xdr:col>
                <xdr:colOff>1047750</xdr:colOff>
                <xdr:row>60</xdr:row>
                <xdr:rowOff>476250</xdr:rowOff>
              </to>
            </anchor>
          </objectPr>
        </oleObject>
      </mc:Choice>
      <mc:Fallback>
        <oleObject progId="AutoCAD.Drawing.24" shapeId="21515" r:id="rId22"/>
      </mc:Fallback>
    </mc:AlternateContent>
    <mc:AlternateContent xmlns:mc="http://schemas.openxmlformats.org/markup-compatibility/2006">
      <mc:Choice Requires="x14">
        <oleObject progId="AutoCAD.Drawing.24" shapeId="21516" r:id="rId23">
          <objectPr defaultSize="0" autoPict="0" r:id="rId17">
            <anchor moveWithCells="1" sizeWithCells="1">
              <from>
                <xdr:col>1</xdr:col>
                <xdr:colOff>704850</xdr:colOff>
                <xdr:row>69</xdr:row>
                <xdr:rowOff>180975</xdr:rowOff>
              </from>
              <to>
                <xdr:col>1</xdr:col>
                <xdr:colOff>1066800</xdr:colOff>
                <xdr:row>71</xdr:row>
                <xdr:rowOff>57150</xdr:rowOff>
              </to>
            </anchor>
          </objectPr>
        </oleObject>
      </mc:Choice>
      <mc:Fallback>
        <oleObject progId="AutoCAD.Drawing.24" shapeId="21516" r:id="rId23"/>
      </mc:Fallback>
    </mc:AlternateContent>
    <mc:AlternateContent xmlns:mc="http://schemas.openxmlformats.org/markup-compatibility/2006">
      <mc:Choice Requires="x14">
        <oleObject progId="AutoCAD.Drawing.24" shapeId="21517" r:id="rId24">
          <objectPr defaultSize="0" autoPict="0" r:id="rId25">
            <anchor moveWithCells="1" sizeWithCells="1">
              <from>
                <xdr:col>1</xdr:col>
                <xdr:colOff>628650</xdr:colOff>
                <xdr:row>71</xdr:row>
                <xdr:rowOff>47625</xdr:rowOff>
              </from>
              <to>
                <xdr:col>1</xdr:col>
                <xdr:colOff>1047750</xdr:colOff>
                <xdr:row>71</xdr:row>
                <xdr:rowOff>476250</xdr:rowOff>
              </to>
            </anchor>
          </objectPr>
        </oleObject>
      </mc:Choice>
      <mc:Fallback>
        <oleObject progId="AutoCAD.Drawing.24" shapeId="21517" r:id="rId24"/>
      </mc:Fallback>
    </mc:AlternateContent>
    <mc:AlternateContent xmlns:mc="http://schemas.openxmlformats.org/markup-compatibility/2006">
      <mc:Choice Requires="x14">
        <oleObject progId="AutoCAD.Drawing.24" shapeId="21518" r:id="rId26">
          <objectPr defaultSize="0" autoPict="0" r:id="rId27">
            <anchor moveWithCells="1" sizeWithCells="1">
              <from>
                <xdr:col>1</xdr:col>
                <xdr:colOff>438150</xdr:colOff>
                <xdr:row>72</xdr:row>
                <xdr:rowOff>0</xdr:rowOff>
              </from>
              <to>
                <xdr:col>1</xdr:col>
                <xdr:colOff>1200150</xdr:colOff>
                <xdr:row>72</xdr:row>
                <xdr:rowOff>466725</xdr:rowOff>
              </to>
            </anchor>
          </objectPr>
        </oleObject>
      </mc:Choice>
      <mc:Fallback>
        <oleObject progId="AutoCAD.Drawing.24" shapeId="21518" r:id="rId26"/>
      </mc:Fallback>
    </mc:AlternateContent>
    <mc:AlternateContent xmlns:mc="http://schemas.openxmlformats.org/markup-compatibility/2006">
      <mc:Choice Requires="x14">
        <oleObject progId="AutoCAD.Drawing.24" shapeId="21519" r:id="rId28">
          <objectPr defaultSize="0" autoPict="0" r:id="rId29">
            <anchor moveWithCells="1" sizeWithCells="1">
              <from>
                <xdr:col>1</xdr:col>
                <xdr:colOff>161925</xdr:colOff>
                <xdr:row>82</xdr:row>
                <xdr:rowOff>114300</xdr:rowOff>
              </from>
              <to>
                <xdr:col>1</xdr:col>
                <xdr:colOff>1390650</xdr:colOff>
                <xdr:row>82</xdr:row>
                <xdr:rowOff>438150</xdr:rowOff>
              </to>
            </anchor>
          </objectPr>
        </oleObject>
      </mc:Choice>
      <mc:Fallback>
        <oleObject progId="AutoCAD.Drawing.24" shapeId="21519" r:id="rId28"/>
      </mc:Fallback>
    </mc:AlternateContent>
    <mc:AlternateContent xmlns:mc="http://schemas.openxmlformats.org/markup-compatibility/2006">
      <mc:Choice Requires="x14">
        <oleObject progId="AutoCAD.Drawing.24" shapeId="21520" r:id="rId30">
          <objectPr defaultSize="0" autoPict="0" r:id="rId31">
            <anchor moveWithCells="1" sizeWithCells="1">
              <from>
                <xdr:col>1</xdr:col>
                <xdr:colOff>314325</xdr:colOff>
                <xdr:row>83</xdr:row>
                <xdr:rowOff>28575</xdr:rowOff>
              </from>
              <to>
                <xdr:col>1</xdr:col>
                <xdr:colOff>1314450</xdr:colOff>
                <xdr:row>83</xdr:row>
                <xdr:rowOff>447675</xdr:rowOff>
              </to>
            </anchor>
          </objectPr>
        </oleObject>
      </mc:Choice>
      <mc:Fallback>
        <oleObject progId="AutoCAD.Drawing.24" shapeId="21520" r:id="rId30"/>
      </mc:Fallback>
    </mc:AlternateContent>
    <mc:AlternateContent xmlns:mc="http://schemas.openxmlformats.org/markup-compatibility/2006">
      <mc:Choice Requires="x14">
        <oleObject progId="AutoCAD.Drawing.24" shapeId="21521" r:id="rId32">
          <objectPr defaultSize="0" autoPict="0" r:id="rId33">
            <anchor moveWithCells="1" sizeWithCells="1">
              <from>
                <xdr:col>1</xdr:col>
                <xdr:colOff>438150</xdr:colOff>
                <xdr:row>84</xdr:row>
                <xdr:rowOff>38100</xdr:rowOff>
              </from>
              <to>
                <xdr:col>1</xdr:col>
                <xdr:colOff>1181100</xdr:colOff>
                <xdr:row>85</xdr:row>
                <xdr:rowOff>0</xdr:rowOff>
              </to>
            </anchor>
          </objectPr>
        </oleObject>
      </mc:Choice>
      <mc:Fallback>
        <oleObject progId="AutoCAD.Drawing.24" shapeId="21521" r:id="rId32"/>
      </mc:Fallback>
    </mc:AlternateContent>
    <mc:AlternateContent xmlns:mc="http://schemas.openxmlformats.org/markup-compatibility/2006">
      <mc:Choice Requires="x14">
        <oleObject progId="AutoCAD.Drawing.24" shapeId="21522" r:id="rId34">
          <objectPr defaultSize="0" autoPict="0" r:id="rId35">
            <anchor moveWithCells="1" sizeWithCells="1">
              <from>
                <xdr:col>1</xdr:col>
                <xdr:colOff>666750</xdr:colOff>
                <xdr:row>85</xdr:row>
                <xdr:rowOff>57150</xdr:rowOff>
              </from>
              <to>
                <xdr:col>1</xdr:col>
                <xdr:colOff>971550</xdr:colOff>
                <xdr:row>85</xdr:row>
                <xdr:rowOff>485775</xdr:rowOff>
              </to>
            </anchor>
          </objectPr>
        </oleObject>
      </mc:Choice>
      <mc:Fallback>
        <oleObject progId="AutoCAD.Drawing.24" shapeId="21522" r:id="rId34"/>
      </mc:Fallback>
    </mc:AlternateContent>
    <mc:AlternateContent xmlns:mc="http://schemas.openxmlformats.org/markup-compatibility/2006">
      <mc:Choice Requires="x14">
        <oleObject progId="AutoCAD.Drawing.24" shapeId="21523" r:id="rId36">
          <objectPr defaultSize="0" autoPict="0" r:id="rId37">
            <anchor moveWithCells="1" sizeWithCells="1">
              <from>
                <xdr:col>1</xdr:col>
                <xdr:colOff>447675</xdr:colOff>
                <xdr:row>86</xdr:row>
                <xdr:rowOff>57150</xdr:rowOff>
              </from>
              <to>
                <xdr:col>1</xdr:col>
                <xdr:colOff>1123950</xdr:colOff>
                <xdr:row>87</xdr:row>
                <xdr:rowOff>0</xdr:rowOff>
              </to>
            </anchor>
          </objectPr>
        </oleObject>
      </mc:Choice>
      <mc:Fallback>
        <oleObject progId="AutoCAD.Drawing.24" shapeId="21523" r:id="rId36"/>
      </mc:Fallback>
    </mc:AlternateContent>
    <mc:AlternateContent xmlns:mc="http://schemas.openxmlformats.org/markup-compatibility/2006">
      <mc:Choice Requires="x14">
        <oleObject progId="AutoCAD.Drawing.24" shapeId="21524" r:id="rId38">
          <objectPr defaultSize="0" autoPict="0" r:id="rId11">
            <anchor moveWithCells="1" sizeWithCells="1">
              <from>
                <xdr:col>1</xdr:col>
                <xdr:colOff>590550</xdr:colOff>
                <xdr:row>87</xdr:row>
                <xdr:rowOff>38100</xdr:rowOff>
              </from>
              <to>
                <xdr:col>1</xdr:col>
                <xdr:colOff>990600</xdr:colOff>
                <xdr:row>87</xdr:row>
                <xdr:rowOff>485775</xdr:rowOff>
              </to>
            </anchor>
          </objectPr>
        </oleObject>
      </mc:Choice>
      <mc:Fallback>
        <oleObject progId="AutoCAD.Drawing.24" shapeId="21524" r:id="rId38"/>
      </mc:Fallback>
    </mc:AlternateContent>
    <mc:AlternateContent xmlns:mc="http://schemas.openxmlformats.org/markup-compatibility/2006">
      <mc:Choice Requires="x14">
        <oleObject progId="AutoCAD.Drawing.24" shapeId="21525" r:id="rId39">
          <objectPr defaultSize="0" autoPict="0" r:id="rId40">
            <anchor moveWithCells="1" sizeWithCells="1">
              <from>
                <xdr:col>1</xdr:col>
                <xdr:colOff>323850</xdr:colOff>
                <xdr:row>89</xdr:row>
                <xdr:rowOff>28575</xdr:rowOff>
              </from>
              <to>
                <xdr:col>1</xdr:col>
                <xdr:colOff>1409700</xdr:colOff>
                <xdr:row>89</xdr:row>
                <xdr:rowOff>457200</xdr:rowOff>
              </to>
            </anchor>
          </objectPr>
        </oleObject>
      </mc:Choice>
      <mc:Fallback>
        <oleObject progId="AutoCAD.Drawing.24" shapeId="21525" r:id="rId39"/>
      </mc:Fallback>
    </mc:AlternateContent>
    <mc:AlternateContent xmlns:mc="http://schemas.openxmlformats.org/markup-compatibility/2006">
      <mc:Choice Requires="x14">
        <oleObject progId="AutoCAD.Drawing.24" shapeId="21526" r:id="rId41">
          <objectPr defaultSize="0" autoPict="0" r:id="rId42">
            <anchor moveWithCells="1" sizeWithCells="1">
              <from>
                <xdr:col>1</xdr:col>
                <xdr:colOff>657225</xdr:colOff>
                <xdr:row>97</xdr:row>
                <xdr:rowOff>47625</xdr:rowOff>
              </from>
              <to>
                <xdr:col>1</xdr:col>
                <xdr:colOff>1019175</xdr:colOff>
                <xdr:row>97</xdr:row>
                <xdr:rowOff>447675</xdr:rowOff>
              </to>
            </anchor>
          </objectPr>
        </oleObject>
      </mc:Choice>
      <mc:Fallback>
        <oleObject progId="AutoCAD.Drawing.24" shapeId="21526" r:id="rId41"/>
      </mc:Fallback>
    </mc:AlternateContent>
    <mc:AlternateContent xmlns:mc="http://schemas.openxmlformats.org/markup-compatibility/2006">
      <mc:Choice Requires="x14">
        <oleObject progId="AutoCAD.Drawing.24" shapeId="21527" r:id="rId43">
          <objectPr defaultSize="0" autoPict="0" r:id="rId44">
            <anchor moveWithCells="1" sizeWithCells="1">
              <from>
                <xdr:col>1</xdr:col>
                <xdr:colOff>666750</xdr:colOff>
                <xdr:row>96</xdr:row>
                <xdr:rowOff>57150</xdr:rowOff>
              </from>
              <to>
                <xdr:col>1</xdr:col>
                <xdr:colOff>1066800</xdr:colOff>
                <xdr:row>96</xdr:row>
                <xdr:rowOff>457200</xdr:rowOff>
              </to>
            </anchor>
          </objectPr>
        </oleObject>
      </mc:Choice>
      <mc:Fallback>
        <oleObject progId="AutoCAD.Drawing.24" shapeId="21527" r:id="rId43"/>
      </mc:Fallback>
    </mc:AlternateContent>
    <mc:AlternateContent xmlns:mc="http://schemas.openxmlformats.org/markup-compatibility/2006">
      <mc:Choice Requires="x14">
        <oleObject progId="AutoCAD.Drawing.24" shapeId="21528" r:id="rId45">
          <objectPr defaultSize="0" autoPict="0" r:id="rId46">
            <anchor moveWithCells="1" sizeWithCells="1">
              <from>
                <xdr:col>1</xdr:col>
                <xdr:colOff>323850</xdr:colOff>
                <xdr:row>98</xdr:row>
                <xdr:rowOff>190500</xdr:rowOff>
              </from>
              <to>
                <xdr:col>1</xdr:col>
                <xdr:colOff>1362075</xdr:colOff>
                <xdr:row>98</xdr:row>
                <xdr:rowOff>361950</xdr:rowOff>
              </to>
            </anchor>
          </objectPr>
        </oleObject>
      </mc:Choice>
      <mc:Fallback>
        <oleObject progId="AutoCAD.Drawing.24" shapeId="21528" r:id="rId45"/>
      </mc:Fallback>
    </mc:AlternateContent>
    <mc:AlternateContent xmlns:mc="http://schemas.openxmlformats.org/markup-compatibility/2006">
      <mc:Choice Requires="x14">
        <oleObject progId="AutoCAD.Drawing.24" shapeId="21529" r:id="rId47">
          <objectPr defaultSize="0" autoPict="0" r:id="rId48">
            <anchor moveWithCells="1" sizeWithCells="1">
              <from>
                <xdr:col>1</xdr:col>
                <xdr:colOff>704850</xdr:colOff>
                <xdr:row>100</xdr:row>
                <xdr:rowOff>19050</xdr:rowOff>
              </from>
              <to>
                <xdr:col>1</xdr:col>
                <xdr:colOff>1047750</xdr:colOff>
                <xdr:row>100</xdr:row>
                <xdr:rowOff>476250</xdr:rowOff>
              </to>
            </anchor>
          </objectPr>
        </oleObject>
      </mc:Choice>
      <mc:Fallback>
        <oleObject progId="AutoCAD.Drawing.24" shapeId="21529" r:id="rId47"/>
      </mc:Fallback>
    </mc:AlternateContent>
    <mc:AlternateContent xmlns:mc="http://schemas.openxmlformats.org/markup-compatibility/2006">
      <mc:Choice Requires="x14">
        <oleObject progId="AutoCAD.Drawing.24" shapeId="21530" r:id="rId49">
          <objectPr defaultSize="0" autoPict="0" r:id="rId50">
            <anchor moveWithCells="1" sizeWithCells="1">
              <from>
                <xdr:col>1</xdr:col>
                <xdr:colOff>657225</xdr:colOff>
                <xdr:row>102</xdr:row>
                <xdr:rowOff>0</xdr:rowOff>
              </from>
              <to>
                <xdr:col>1</xdr:col>
                <xdr:colOff>1095375</xdr:colOff>
                <xdr:row>102</xdr:row>
                <xdr:rowOff>514350</xdr:rowOff>
              </to>
            </anchor>
          </objectPr>
        </oleObject>
      </mc:Choice>
      <mc:Fallback>
        <oleObject progId="AutoCAD.Drawing.24" shapeId="21530" r:id="rId49"/>
      </mc:Fallback>
    </mc:AlternateContent>
    <mc:AlternateContent xmlns:mc="http://schemas.openxmlformats.org/markup-compatibility/2006">
      <mc:Choice Requires="x14">
        <oleObject progId="AutoCAD.Drawing.24" shapeId="21531" r:id="rId51">
          <objectPr defaultSize="0" autoPict="0" r:id="rId52">
            <anchor moveWithCells="1" sizeWithCells="1">
              <from>
                <xdr:col>1</xdr:col>
                <xdr:colOff>476250</xdr:colOff>
                <xdr:row>101</xdr:row>
                <xdr:rowOff>9525</xdr:rowOff>
              </from>
              <to>
                <xdr:col>1</xdr:col>
                <xdr:colOff>1247775</xdr:colOff>
                <xdr:row>101</xdr:row>
                <xdr:rowOff>495300</xdr:rowOff>
              </to>
            </anchor>
          </objectPr>
        </oleObject>
      </mc:Choice>
      <mc:Fallback>
        <oleObject progId="AutoCAD.Drawing.24" shapeId="21531" r:id="rId51"/>
      </mc:Fallback>
    </mc:AlternateContent>
    <mc:AlternateContent xmlns:mc="http://schemas.openxmlformats.org/markup-compatibility/2006">
      <mc:Choice Requires="x14">
        <oleObject progId="AutoCAD.Drawing.24" shapeId="21532" r:id="rId53">
          <objectPr defaultSize="0" autoPict="0" r:id="rId54">
            <anchor moveWithCells="1" sizeWithCells="1">
              <from>
                <xdr:col>1</xdr:col>
                <xdr:colOff>409575</xdr:colOff>
                <xdr:row>99</xdr:row>
                <xdr:rowOff>19050</xdr:rowOff>
              </from>
              <to>
                <xdr:col>1</xdr:col>
                <xdr:colOff>1162050</xdr:colOff>
                <xdr:row>99</xdr:row>
                <xdr:rowOff>485775</xdr:rowOff>
              </to>
            </anchor>
          </objectPr>
        </oleObject>
      </mc:Choice>
      <mc:Fallback>
        <oleObject progId="AutoCAD.Drawing.24" shapeId="21532" r:id="rId53"/>
      </mc:Fallback>
    </mc:AlternateContent>
    <mc:AlternateContent xmlns:mc="http://schemas.openxmlformats.org/markup-compatibility/2006">
      <mc:Choice Requires="x14">
        <oleObject progId="AutoCAD.Drawing.24" shapeId="21533" r:id="rId55">
          <objectPr defaultSize="0" autoPict="0" r:id="rId27">
            <anchor moveWithCells="1" sizeWithCells="1">
              <from>
                <xdr:col>1</xdr:col>
                <xdr:colOff>438150</xdr:colOff>
                <xdr:row>88</xdr:row>
                <xdr:rowOff>0</xdr:rowOff>
              </from>
              <to>
                <xdr:col>1</xdr:col>
                <xdr:colOff>1200150</xdr:colOff>
                <xdr:row>88</xdr:row>
                <xdr:rowOff>466725</xdr:rowOff>
              </to>
            </anchor>
          </objectPr>
        </oleObject>
      </mc:Choice>
      <mc:Fallback>
        <oleObject progId="AutoCAD.Drawing.24" shapeId="21533" r:id="rId55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958A59-EB81-4319-9F17-E8D27D13AC9E}">
  <dimension ref="A1:AC49"/>
  <sheetViews>
    <sheetView rightToLeft="1" zoomScaleNormal="100" zoomScaleSheetLayoutView="100" workbookViewId="0">
      <selection activeCell="F15" sqref="F15"/>
    </sheetView>
  </sheetViews>
  <sheetFormatPr defaultRowHeight="15" x14ac:dyDescent="0.25"/>
  <cols>
    <col min="1" max="1" width="2.5703125" customWidth="1"/>
    <col min="2" max="2" width="2.7109375" style="24" customWidth="1"/>
    <col min="3" max="3" width="16.140625" style="24" customWidth="1"/>
    <col min="4" max="4" width="28.5703125" style="35" customWidth="1"/>
    <col min="5" max="5" width="29.140625" style="36" customWidth="1"/>
    <col min="6" max="6" width="21.5703125" style="24" customWidth="1"/>
    <col min="7" max="7" width="2.7109375" style="36" customWidth="1"/>
    <col min="8" max="8" width="4.28515625" customWidth="1"/>
    <col min="11" max="11" width="14.28515625" customWidth="1"/>
  </cols>
  <sheetData>
    <row r="1" spans="1:29" ht="22.5" customHeight="1" x14ac:dyDescent="0.25">
      <c r="A1" s="25"/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1"/>
      <c r="AC1" s="11"/>
    </row>
    <row r="2" spans="1:29" ht="19.899999999999999" customHeight="1" x14ac:dyDescent="0.25">
      <c r="A2" s="25"/>
      <c r="B2" s="12"/>
      <c r="C2" s="12"/>
      <c r="D2" s="13"/>
      <c r="E2" s="14"/>
      <c r="F2" s="12"/>
      <c r="G2" s="15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</row>
    <row r="3" spans="1:29" ht="25.15" customHeight="1" x14ac:dyDescent="0.25">
      <c r="A3" s="25"/>
      <c r="B3" s="16"/>
      <c r="C3" s="118" t="s">
        <v>82</v>
      </c>
      <c r="D3" s="110">
        <f>(Invoice!C14)/100</f>
        <v>0</v>
      </c>
      <c r="E3" s="189" t="str">
        <f>IF(AND(D3&lt;=6,D4&gt;8),"NOT IN RANGE",IF(AND(D3&gt;6,D4&lt;=8),"NOT IN RANGE","CORRECT RANGE"))</f>
        <v>CORRECT RANGE</v>
      </c>
      <c r="F3" s="189"/>
      <c r="G3" s="15"/>
      <c r="H3" s="11"/>
      <c r="I3" s="41">
        <f>K3</f>
        <v>1.1216953130392766E-2</v>
      </c>
      <c r="J3" s="25" t="s">
        <v>78</v>
      </c>
      <c r="K3" s="41">
        <f>IF(AND($D$6="ROOF LEVEL"),'D3'!F2,IF(AND($D$6="SAYANEH"),'D3'!F6,IF(AND($D$6="PAVLION"),'D3'!F10,0)))</f>
        <v>1.1216953130392766E-2</v>
      </c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</row>
    <row r="4" spans="1:29" ht="25.15" customHeight="1" x14ac:dyDescent="0.25">
      <c r="A4" s="25"/>
      <c r="B4" s="16"/>
      <c r="C4" s="118" t="s">
        <v>16</v>
      </c>
      <c r="D4" s="110">
        <f>(Invoice!D14)/100</f>
        <v>0</v>
      </c>
      <c r="E4" s="189"/>
      <c r="F4" s="189"/>
      <c r="G4" s="15"/>
      <c r="H4" s="11"/>
      <c r="I4" s="41">
        <f t="shared" ref="I4:I6" si="0">K4</f>
        <v>0.67301718782356601</v>
      </c>
      <c r="J4" s="25" t="s">
        <v>79</v>
      </c>
      <c r="K4" s="41">
        <f>IF(AND($D$6="ROOF LEVEL"),'D3'!F3,IF(AND($D$6="SAYANEH"),'D3'!F7,IF(AND($D$6="PAVLION"),'D3'!F11,0)))</f>
        <v>0.67301718782356601</v>
      </c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</row>
    <row r="5" spans="1:29" ht="25.15" customHeight="1" x14ac:dyDescent="0.25">
      <c r="A5" s="25"/>
      <c r="B5" s="16"/>
      <c r="C5" s="118" t="s">
        <v>24</v>
      </c>
      <c r="D5" s="111">
        <f>Invoice!E14</f>
        <v>0</v>
      </c>
      <c r="E5" s="189"/>
      <c r="F5" s="189"/>
      <c r="G5" s="15"/>
      <c r="H5" s="11"/>
      <c r="I5" s="41">
        <f t="shared" si="0"/>
        <v>3.8090184303168358E-2</v>
      </c>
      <c r="J5" s="25" t="s">
        <v>80</v>
      </c>
      <c r="K5" s="41">
        <f>IF(AND($D$6="ROOF LEVEL"),'D3'!F4,IF(AND($D$6="SAYANEH"),'D3'!F8,IF(AND($D$6="PAVLION"),'D3'!F12,0)))</f>
        <v>3.8090184303168358E-2</v>
      </c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</row>
    <row r="6" spans="1:29" ht="25.15" customHeight="1" x14ac:dyDescent="0.25">
      <c r="A6" s="25"/>
      <c r="B6" s="16"/>
      <c r="C6" s="118" t="s">
        <v>215</v>
      </c>
      <c r="D6" s="112" t="str">
        <f>Invoice!F14</f>
        <v>Roof Level</v>
      </c>
      <c r="E6" s="189"/>
      <c r="F6" s="189"/>
      <c r="G6" s="15"/>
      <c r="H6" s="11"/>
      <c r="I6" s="41">
        <f t="shared" si="0"/>
        <v>0.27767567474287291</v>
      </c>
      <c r="J6" s="25" t="s">
        <v>81</v>
      </c>
      <c r="K6" s="41">
        <f>IF(AND($D$6="ROOF LEVEL"),'D3'!F5,IF(AND($D$6="SAYANEH"),'D3'!F9,IF(AND($D$6="PAVLION"),'D3'!F13,0)))</f>
        <v>0.27767567474287291</v>
      </c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</row>
    <row r="7" spans="1:29" ht="25.15" customHeight="1" x14ac:dyDescent="0.25">
      <c r="A7" s="25"/>
      <c r="B7" s="16"/>
      <c r="C7" s="118" t="s">
        <v>213</v>
      </c>
      <c r="D7" s="160" t="str">
        <f>Invoice!G14</f>
        <v>متحرک</v>
      </c>
      <c r="E7" s="117" t="s">
        <v>83</v>
      </c>
      <c r="F7" s="114">
        <f>D3*D4*D5</f>
        <v>0</v>
      </c>
      <c r="G7" s="15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</row>
    <row r="8" spans="1:29" ht="25.15" customHeight="1" x14ac:dyDescent="0.25">
      <c r="A8" s="25"/>
      <c r="B8" s="16"/>
      <c r="C8" s="118" t="s">
        <v>19</v>
      </c>
      <c r="D8" s="113" t="str">
        <f>Invoice!G18</f>
        <v xml:space="preserve">120Nm بکر آلمان </v>
      </c>
      <c r="E8" s="117" t="s">
        <v>20</v>
      </c>
      <c r="F8" s="115" t="e">
        <f>FLOOR(F9/F7,100000)</f>
        <v>#DIV/0!</v>
      </c>
      <c r="G8" s="15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</row>
    <row r="9" spans="1:29" ht="25.15" customHeight="1" x14ac:dyDescent="0.25">
      <c r="A9" s="25"/>
      <c r="B9" s="12"/>
      <c r="C9" s="118" t="s">
        <v>84</v>
      </c>
      <c r="D9" s="113" t="str">
        <f>Invoice!H12</f>
        <v>روشنایی لبه آبراه(خطی LED)</v>
      </c>
      <c r="E9" s="117" t="s">
        <v>22</v>
      </c>
      <c r="F9" s="115">
        <f>IF(AND(D6="ROOF LEVEL",D7="متحرک"),('D3'!J15),IF(AND(D6="SAYANEH",D7="متحرک"),('D3'!J16),IF(AND(D6="PAVLION",D7="متحرک"),('D3'!J17),IF(AND(D6="ROOF LEVEL",D7="ثابت"),('D3'!J19),IF(AND(D6="SAYANEH",D7="ثابت"),('D3'!J20),IF(AND(D6="PAVLION",D7="ثابت"),('D3'!J21),0))))))</f>
        <v>0</v>
      </c>
      <c r="G9" s="15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</row>
    <row r="10" spans="1:29" ht="16.149999999999999" hidden="1" customHeight="1" x14ac:dyDescent="0.25">
      <c r="A10" s="25"/>
      <c r="B10" s="16"/>
      <c r="C10" s="107" t="s">
        <v>21</v>
      </c>
      <c r="D10" s="108">
        <f>Invoice!C18</f>
        <v>700000</v>
      </c>
      <c r="E10" s="119" t="s">
        <v>33</v>
      </c>
      <c r="F10" s="116" t="str">
        <f>IF(AND(D4&gt;2,D4&lt;=3),0,IF(AND(D4&gt;3,D4&lt;=8),1,"0"))</f>
        <v>0</v>
      </c>
      <c r="G10" s="15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</row>
    <row r="11" spans="1:29" ht="16.149999999999999" hidden="1" customHeight="1" thickBot="1" x14ac:dyDescent="0.3">
      <c r="A11" s="25"/>
      <c r="B11" s="16"/>
      <c r="C11" s="45" t="s">
        <v>34</v>
      </c>
      <c r="D11" s="43">
        <f>Invoice!C17</f>
        <v>2200000</v>
      </c>
      <c r="E11" s="17" t="s">
        <v>15</v>
      </c>
      <c r="F11" s="109">
        <v>35</v>
      </c>
      <c r="G11" s="15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</row>
    <row r="12" spans="1:29" ht="16.149999999999999" hidden="1" customHeight="1" thickBot="1" x14ac:dyDescent="0.3">
      <c r="A12" s="25"/>
      <c r="B12" s="16"/>
      <c r="C12" s="44" t="s">
        <v>37</v>
      </c>
      <c r="D12" s="43">
        <f>Invoice!C19</f>
        <v>450000</v>
      </c>
      <c r="E12" s="19" t="s">
        <v>17</v>
      </c>
      <c r="F12" s="18">
        <v>50</v>
      </c>
      <c r="G12" s="15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</row>
    <row r="13" spans="1:29" ht="19.899999999999999" customHeight="1" x14ac:dyDescent="0.25">
      <c r="A13" s="25"/>
      <c r="B13" s="16"/>
      <c r="C13" s="16"/>
      <c r="D13" s="16"/>
      <c r="E13" s="16"/>
      <c r="F13" s="16"/>
      <c r="G13" s="16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</row>
    <row r="14" spans="1:29" x14ac:dyDescent="0.25">
      <c r="A14" s="25"/>
      <c r="B14" s="25"/>
      <c r="C14" s="26"/>
      <c r="D14" s="27"/>
      <c r="E14" s="28"/>
      <c r="F14" s="11"/>
      <c r="G14" s="29"/>
      <c r="H14" s="190">
        <f>FLOOR((IF(AND($D$6="ROOF LEVEL"),'D3'!D2,IF(AND($D$6="SAYANEH"),'D3'!D6,IF(AND($D$6="PAVLION"),'D3'!D10,0)))),1000000)/10000000</f>
        <v>0.6</v>
      </c>
      <c r="I14" s="190"/>
      <c r="J14" s="190"/>
      <c r="K14" s="190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</row>
    <row r="15" spans="1:29" x14ac:dyDescent="0.25">
      <c r="A15" s="25"/>
      <c r="B15" s="25"/>
      <c r="C15" s="26"/>
      <c r="D15" s="27"/>
      <c r="E15" s="27"/>
      <c r="F15" s="27"/>
      <c r="G15" s="27"/>
      <c r="H15" s="27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</row>
    <row r="16" spans="1:29" x14ac:dyDescent="0.25">
      <c r="A16" s="25"/>
      <c r="B16" s="25"/>
      <c r="C16" s="25"/>
      <c r="D16" s="25"/>
      <c r="E16" s="25"/>
      <c r="F16" s="25"/>
      <c r="G16" s="25"/>
      <c r="H16" s="25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</row>
    <row r="17" spans="1:29" x14ac:dyDescent="0.25">
      <c r="A17" s="25"/>
      <c r="B17" s="25"/>
      <c r="C17" s="25"/>
      <c r="D17" s="25"/>
      <c r="E17" s="25"/>
      <c r="F17" s="25"/>
      <c r="G17" s="25"/>
      <c r="H17" s="25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</row>
    <row r="18" spans="1:29" x14ac:dyDescent="0.25">
      <c r="A18" s="25"/>
      <c r="B18" s="30"/>
      <c r="C18" s="30"/>
      <c r="D18" s="30"/>
      <c r="E18" s="11"/>
      <c r="F18" s="11"/>
      <c r="G18" s="28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</row>
    <row r="19" spans="1:29" x14ac:dyDescent="0.25">
      <c r="A19" s="25"/>
      <c r="B19" s="30"/>
      <c r="C19" s="30"/>
      <c r="D19" s="30"/>
      <c r="E19" s="11"/>
      <c r="F19" s="11"/>
      <c r="G19" s="28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</row>
    <row r="20" spans="1:29" x14ac:dyDescent="0.25">
      <c r="A20" s="25"/>
      <c r="B20" s="11"/>
      <c r="C20" s="11"/>
      <c r="D20" s="31"/>
      <c r="E20" s="11"/>
      <c r="F20" s="32"/>
      <c r="G20" s="32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</row>
    <row r="21" spans="1:29" x14ac:dyDescent="0.25">
      <c r="A21" s="25"/>
      <c r="B21" s="11"/>
      <c r="C21" s="11"/>
      <c r="D21" s="31"/>
      <c r="E21" s="11"/>
      <c r="F21" s="32"/>
      <c r="G21" s="32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</row>
    <row r="22" spans="1:29" x14ac:dyDescent="0.25">
      <c r="A22" s="25"/>
      <c r="B22" s="11"/>
      <c r="C22" s="11"/>
      <c r="D22" s="31"/>
      <c r="E22" s="11"/>
      <c r="F22" s="32"/>
      <c r="G22" s="32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</row>
    <row r="23" spans="1:29" x14ac:dyDescent="0.25">
      <c r="A23" s="25"/>
      <c r="B23" s="11"/>
      <c r="C23" s="11"/>
      <c r="D23" s="31"/>
      <c r="E23" s="11"/>
      <c r="F23" s="32"/>
      <c r="G23" s="33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</row>
    <row r="24" spans="1:29" x14ac:dyDescent="0.25">
      <c r="A24" s="25"/>
      <c r="B24" s="11"/>
      <c r="C24" s="11"/>
      <c r="D24" s="31"/>
      <c r="E24" s="11"/>
      <c r="F24" s="32"/>
      <c r="G24" s="33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</row>
    <row r="25" spans="1:29" x14ac:dyDescent="0.25">
      <c r="A25" s="25"/>
      <c r="B25" s="11"/>
      <c r="C25" s="11"/>
      <c r="D25" s="31"/>
      <c r="E25" s="11"/>
      <c r="F25" s="32"/>
      <c r="G25" s="33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</row>
    <row r="26" spans="1:29" x14ac:dyDescent="0.25">
      <c r="A26" s="25"/>
      <c r="B26" s="11"/>
      <c r="C26" s="11"/>
      <c r="D26" s="31"/>
      <c r="E26" s="11"/>
      <c r="F26" s="32"/>
      <c r="G26" s="33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</row>
    <row r="27" spans="1:29" x14ac:dyDescent="0.25">
      <c r="A27" s="25"/>
      <c r="B27" s="11"/>
      <c r="C27" s="11"/>
      <c r="D27" s="31"/>
      <c r="E27" s="11"/>
      <c r="F27" s="32"/>
      <c r="G27" s="33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</row>
    <row r="28" spans="1:29" x14ac:dyDescent="0.25">
      <c r="A28" s="25"/>
      <c r="B28" s="30"/>
      <c r="C28" s="11"/>
      <c r="D28" s="31"/>
      <c r="E28" s="11"/>
      <c r="F28" s="32"/>
      <c r="G28" s="33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</row>
    <row r="29" spans="1:29" x14ac:dyDescent="0.25">
      <c r="A29" s="25"/>
      <c r="B29" s="11"/>
      <c r="C29" s="11"/>
      <c r="D29" s="31"/>
      <c r="E29" s="11"/>
      <c r="F29" s="32"/>
      <c r="G29" s="33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</row>
    <row r="30" spans="1:29" x14ac:dyDescent="0.25">
      <c r="A30" s="25"/>
      <c r="B30" s="11"/>
      <c r="C30" s="11"/>
      <c r="D30" s="31"/>
      <c r="E30" s="11"/>
      <c r="F30" s="32"/>
      <c r="G30" s="33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</row>
    <row r="31" spans="1:29" x14ac:dyDescent="0.25">
      <c r="A31" s="25"/>
      <c r="B31" s="11"/>
      <c r="C31" s="11"/>
      <c r="D31" s="31"/>
      <c r="E31" s="28"/>
      <c r="F31" s="32"/>
      <c r="G31" s="33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</row>
    <row r="32" spans="1:29" x14ac:dyDescent="0.25">
      <c r="A32" s="25"/>
      <c r="B32" s="11"/>
      <c r="C32" s="11"/>
      <c r="D32" s="31"/>
      <c r="E32" s="28"/>
      <c r="F32" s="32"/>
      <c r="G32" s="33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</row>
    <row r="33" spans="1:29" x14ac:dyDescent="0.25">
      <c r="A33" s="25"/>
      <c r="B33" s="11"/>
      <c r="C33" s="11"/>
      <c r="D33" s="31"/>
      <c r="E33" s="28"/>
      <c r="F33" s="28"/>
      <c r="G33" s="28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</row>
    <row r="34" spans="1:29" x14ac:dyDescent="0.25">
      <c r="A34" s="25"/>
      <c r="B34" s="11"/>
      <c r="C34" s="11"/>
      <c r="D34" s="31"/>
      <c r="E34" s="28"/>
      <c r="F34" s="28"/>
      <c r="G34" s="28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</row>
    <row r="35" spans="1:29" x14ac:dyDescent="0.25">
      <c r="A35" s="25"/>
      <c r="B35" s="11"/>
      <c r="C35" s="11"/>
      <c r="D35" s="31"/>
      <c r="E35" s="28"/>
      <c r="F35" s="28"/>
      <c r="G35" s="28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</row>
    <row r="36" spans="1:29" x14ac:dyDescent="0.25">
      <c r="A36" s="25"/>
      <c r="B36" s="11"/>
      <c r="C36" s="11"/>
      <c r="D36" s="31"/>
      <c r="E36" s="28"/>
      <c r="F36" s="28"/>
      <c r="G36" s="28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</row>
    <row r="37" spans="1:29" x14ac:dyDescent="0.25">
      <c r="A37" s="25"/>
      <c r="B37" s="11"/>
      <c r="C37" s="11"/>
      <c r="D37" s="31"/>
      <c r="E37" s="28"/>
      <c r="F37" s="28"/>
      <c r="G37" s="28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</row>
    <row r="38" spans="1:29" x14ac:dyDescent="0.25">
      <c r="A38" s="25"/>
      <c r="B38" s="11"/>
      <c r="C38" s="11"/>
      <c r="D38" s="31"/>
      <c r="E38" s="28"/>
      <c r="F38" s="28"/>
      <c r="G38" s="28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</row>
    <row r="39" spans="1:29" x14ac:dyDescent="0.25">
      <c r="A39" s="25"/>
      <c r="B39" s="11"/>
      <c r="C39" s="11"/>
      <c r="D39" s="31"/>
      <c r="E39" s="28"/>
      <c r="F39" s="28"/>
      <c r="G39" s="28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</row>
    <row r="40" spans="1:29" x14ac:dyDescent="0.25">
      <c r="A40" s="25"/>
      <c r="B40" s="11"/>
      <c r="C40" s="11"/>
      <c r="D40" s="34"/>
      <c r="E40" s="28"/>
      <c r="F40" s="11"/>
      <c r="G40" s="28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</row>
    <row r="41" spans="1:29" x14ac:dyDescent="0.25">
      <c r="A41" s="25"/>
      <c r="B41" s="11"/>
      <c r="C41" s="11"/>
      <c r="D41" s="34"/>
      <c r="E41" s="28"/>
      <c r="F41" s="11"/>
      <c r="G41" s="28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</row>
    <row r="42" spans="1:29" x14ac:dyDescent="0.25">
      <c r="A42" s="25"/>
      <c r="B42" s="11"/>
      <c r="C42" s="11"/>
      <c r="D42" s="46" t="s">
        <v>88</v>
      </c>
      <c r="E42" s="28"/>
      <c r="F42" s="11"/>
      <c r="G42" s="28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</row>
    <row r="43" spans="1:29" x14ac:dyDescent="0.25">
      <c r="A43" s="25"/>
      <c r="B43" s="11"/>
      <c r="C43" s="42" t="s">
        <v>13</v>
      </c>
      <c r="D43" s="34" t="s">
        <v>85</v>
      </c>
      <c r="E43" s="34" t="s">
        <v>89</v>
      </c>
      <c r="F43" s="11"/>
      <c r="G43" s="28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</row>
    <row r="44" spans="1:29" x14ac:dyDescent="0.25">
      <c r="A44" s="25"/>
      <c r="B44" s="11"/>
      <c r="C44" s="42" t="s">
        <v>14</v>
      </c>
      <c r="D44" s="34" t="s">
        <v>86</v>
      </c>
      <c r="E44" s="34" t="s">
        <v>90</v>
      </c>
      <c r="F44" s="11"/>
      <c r="G44" s="28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</row>
    <row r="45" spans="1:29" x14ac:dyDescent="0.25">
      <c r="A45" s="25"/>
      <c r="B45" s="11"/>
      <c r="C45" s="42" t="s">
        <v>25</v>
      </c>
      <c r="D45" s="34" t="s">
        <v>87</v>
      </c>
      <c r="E45" s="28"/>
      <c r="F45" s="11"/>
      <c r="G45" s="28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</row>
    <row r="46" spans="1:29" x14ac:dyDescent="0.25">
      <c r="A46" s="25"/>
      <c r="B46" s="11"/>
      <c r="C46" s="11"/>
      <c r="D46" s="34"/>
      <c r="E46" s="28"/>
      <c r="F46" s="11"/>
      <c r="G46" s="28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</row>
    <row r="47" spans="1:29" x14ac:dyDescent="0.25">
      <c r="A47" s="25"/>
      <c r="B47" s="11"/>
      <c r="C47" s="11"/>
      <c r="D47" s="34"/>
      <c r="E47" s="28"/>
      <c r="F47" s="11"/>
      <c r="G47" s="28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</row>
    <row r="48" spans="1:29" x14ac:dyDescent="0.25">
      <c r="A48" s="25"/>
      <c r="B48" s="11"/>
      <c r="C48" s="11"/>
      <c r="D48" s="34"/>
      <c r="E48" s="28"/>
      <c r="F48" s="11"/>
      <c r="G48" s="28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</row>
    <row r="49" spans="1:29" x14ac:dyDescent="0.25">
      <c r="A49" s="25"/>
      <c r="B49" s="11"/>
      <c r="C49" s="11"/>
      <c r="D49" s="34"/>
      <c r="E49" s="28"/>
      <c r="F49" s="11"/>
      <c r="G49" s="28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</row>
  </sheetData>
  <mergeCells count="2">
    <mergeCell ref="E3:F6"/>
    <mergeCell ref="H14:K14"/>
  </mergeCells>
  <conditionalFormatting sqref="E3">
    <cfRule type="cellIs" dxfId="8" priority="1" operator="equal">
      <formula>"NOT IN RANGE"</formula>
    </cfRule>
    <cfRule type="cellIs" dxfId="7" priority="2" operator="equal">
      <formula>"CORRECT RANGE"</formula>
    </cfRule>
  </conditionalFormatting>
  <pageMargins left="0.7" right="0.7" top="0.75" bottom="0.75" header="0.3" footer="0.3"/>
  <pageSetup paperSize="8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A1B04A-7A7B-4573-A427-B9211A9DCBA6}">
  <dimension ref="A2:L109"/>
  <sheetViews>
    <sheetView rightToLeft="1" topLeftCell="A3" workbookViewId="0">
      <selection activeCell="J19" sqref="J19"/>
    </sheetView>
  </sheetViews>
  <sheetFormatPr defaultRowHeight="15" x14ac:dyDescent="0.25"/>
  <cols>
    <col min="2" max="3" width="24.5703125" customWidth="1"/>
    <col min="4" max="4" width="10" customWidth="1"/>
    <col min="5" max="5" width="7.42578125" customWidth="1"/>
    <col min="6" max="7" width="15" customWidth="1"/>
    <col min="8" max="8" width="12.42578125" customWidth="1"/>
    <col min="9" max="9" width="12" style="100" customWidth="1"/>
    <col min="10" max="10" width="16.42578125" customWidth="1"/>
    <col min="11" max="11" width="14.140625" customWidth="1"/>
    <col min="12" max="12" width="11.42578125" customWidth="1"/>
  </cols>
  <sheetData>
    <row r="2" spans="2:11" x14ac:dyDescent="0.25">
      <c r="B2" s="191" t="s">
        <v>89</v>
      </c>
      <c r="C2" s="101" t="s">
        <v>74</v>
      </c>
      <c r="D2" s="195">
        <f>G30+G41+G59+G60+G83+G86+G98+G99+G100</f>
        <v>6500000</v>
      </c>
      <c r="E2" s="195"/>
      <c r="F2" s="102">
        <f>D2/$J$2</f>
        <v>1.1216953130392766E-2</v>
      </c>
      <c r="H2" s="202" t="s">
        <v>89</v>
      </c>
      <c r="I2" s="202"/>
      <c r="J2" s="120">
        <f>D37+D49+D66+D78+D92+D106-D109</f>
        <v>579480000</v>
      </c>
      <c r="K2" s="120"/>
    </row>
    <row r="3" spans="2:11" x14ac:dyDescent="0.25">
      <c r="B3" s="191"/>
      <c r="C3" s="101" t="s">
        <v>75</v>
      </c>
      <c r="D3" s="195">
        <f>G25+G90</f>
        <v>390000000</v>
      </c>
      <c r="E3" s="195"/>
      <c r="F3" s="102">
        <f t="shared" ref="F3:F5" si="0">D3/$J$2</f>
        <v>0.67301718782356601</v>
      </c>
      <c r="H3" s="202" t="s">
        <v>206</v>
      </c>
      <c r="I3" s="202"/>
      <c r="J3" s="120">
        <f>SUM(D6:E9)</f>
        <v>614991250</v>
      </c>
      <c r="K3" s="120"/>
    </row>
    <row r="4" spans="2:11" x14ac:dyDescent="0.25">
      <c r="B4" s="191"/>
      <c r="C4" s="101" t="s">
        <v>76</v>
      </c>
      <c r="D4" s="195">
        <f>G36+G48+G65+G77+G91+(0.6*G105)</f>
        <v>22072500</v>
      </c>
      <c r="E4" s="195"/>
      <c r="F4" s="102">
        <f t="shared" si="0"/>
        <v>3.8090184303168358E-2</v>
      </c>
      <c r="H4" s="202" t="s">
        <v>207</v>
      </c>
      <c r="I4" s="202"/>
      <c r="J4" s="120">
        <f>D37+D49+D66+D78+D92+D106</f>
        <v>650502500</v>
      </c>
      <c r="K4" s="120"/>
    </row>
    <row r="5" spans="2:11" x14ac:dyDescent="0.25">
      <c r="B5" s="191"/>
      <c r="C5" s="101" t="s">
        <v>77</v>
      </c>
      <c r="D5" s="195">
        <f>J2-D2-D3-D4</f>
        <v>160907500</v>
      </c>
      <c r="E5" s="195"/>
      <c r="F5" s="102">
        <f t="shared" si="0"/>
        <v>0.27767567474287291</v>
      </c>
      <c r="H5" s="121"/>
      <c r="I5" s="97" t="s">
        <v>13</v>
      </c>
      <c r="J5" s="121"/>
      <c r="K5" s="22">
        <f>300*'S3'!D10</f>
        <v>210000000</v>
      </c>
    </row>
    <row r="6" spans="2:11" x14ac:dyDescent="0.25">
      <c r="B6" s="192" t="s">
        <v>206</v>
      </c>
      <c r="C6" s="103" t="s">
        <v>74</v>
      </c>
      <c r="D6" s="194">
        <f>D10-F16</f>
        <v>57925000</v>
      </c>
      <c r="E6" s="194"/>
      <c r="F6" s="104">
        <f>D6/$J$3</f>
        <v>9.4188331947812259E-2</v>
      </c>
      <c r="H6" s="121"/>
      <c r="I6" s="97" t="s">
        <v>14</v>
      </c>
      <c r="J6" s="121"/>
      <c r="K6" s="22">
        <f>390*'S3'!D10</f>
        <v>273000000</v>
      </c>
    </row>
    <row r="7" spans="2:11" x14ac:dyDescent="0.25">
      <c r="B7" s="192"/>
      <c r="C7" s="103" t="s">
        <v>75</v>
      </c>
      <c r="D7" s="194">
        <f>D11</f>
        <v>390000000</v>
      </c>
      <c r="E7" s="194"/>
      <c r="F7" s="104">
        <f t="shared" ref="F7:F9" si="1">D7/$J$3</f>
        <v>0.63415536399908123</v>
      </c>
      <c r="H7" s="121"/>
      <c r="I7" s="97" t="s">
        <v>25</v>
      </c>
      <c r="J7" s="121"/>
      <c r="K7" s="22">
        <f>60*'S3'!D10</f>
        <v>42000000</v>
      </c>
    </row>
    <row r="8" spans="2:11" x14ac:dyDescent="0.25">
      <c r="B8" s="192"/>
      <c r="C8" s="103" t="s">
        <v>76</v>
      </c>
      <c r="D8" s="194">
        <f>D12-F17</f>
        <v>26280000</v>
      </c>
      <c r="E8" s="194"/>
      <c r="F8" s="104">
        <f t="shared" si="1"/>
        <v>4.2732315297168859E-2</v>
      </c>
      <c r="H8" s="208" t="s">
        <v>23</v>
      </c>
      <c r="I8" s="208"/>
      <c r="J8" s="208"/>
      <c r="K8" s="20">
        <f>6*'S3'!D10*'S3'!D3*'S3'!D4</f>
        <v>0</v>
      </c>
    </row>
    <row r="9" spans="2:11" ht="15.75" x14ac:dyDescent="0.25">
      <c r="B9" s="192"/>
      <c r="C9" s="103" t="s">
        <v>77</v>
      </c>
      <c r="D9" s="194">
        <f>D13-F18</f>
        <v>140786250</v>
      </c>
      <c r="E9" s="194"/>
      <c r="F9" s="104">
        <f t="shared" si="1"/>
        <v>0.22892398875593759</v>
      </c>
      <c r="H9" s="122"/>
      <c r="I9" s="23"/>
      <c r="J9" s="123" t="s">
        <v>15</v>
      </c>
      <c r="K9" s="124">
        <v>35</v>
      </c>
    </row>
    <row r="10" spans="2:11" ht="15.75" x14ac:dyDescent="0.25">
      <c r="B10" s="193" t="s">
        <v>207</v>
      </c>
      <c r="C10" s="105" t="s">
        <v>74</v>
      </c>
      <c r="D10" s="196">
        <f>G30+G41+G59+G60+G83+G86+G97+G98+G99+G100</f>
        <v>109350000</v>
      </c>
      <c r="E10" s="196"/>
      <c r="F10" s="106">
        <f>D10/$J$4</f>
        <v>0.16810081437042901</v>
      </c>
      <c r="H10" s="125"/>
      <c r="I10" s="21"/>
      <c r="J10" s="123" t="s">
        <v>17</v>
      </c>
      <c r="K10" s="124">
        <v>50</v>
      </c>
    </row>
    <row r="11" spans="2:11" ht="15.75" x14ac:dyDescent="0.25">
      <c r="B11" s="193"/>
      <c r="C11" s="105" t="s">
        <v>75</v>
      </c>
      <c r="D11" s="196">
        <f>G25+G90</f>
        <v>390000000</v>
      </c>
      <c r="E11" s="196"/>
      <c r="F11" s="106">
        <f t="shared" ref="F11:F13" si="2">D11/$J$4</f>
        <v>0.59953651215790871</v>
      </c>
      <c r="H11" s="125"/>
      <c r="I11" s="21"/>
      <c r="J11" s="123" t="s">
        <v>18</v>
      </c>
      <c r="K11" s="124">
        <v>0</v>
      </c>
    </row>
    <row r="12" spans="2:11" x14ac:dyDescent="0.25">
      <c r="B12" s="193"/>
      <c r="C12" s="105" t="s">
        <v>76</v>
      </c>
      <c r="D12" s="196">
        <f>G36+G48+G65+G77+G91+G105</f>
        <v>30487500</v>
      </c>
      <c r="E12" s="196"/>
      <c r="F12" s="106">
        <f t="shared" si="2"/>
        <v>4.6867613883113439E-2</v>
      </c>
      <c r="H12" s="126" t="s">
        <v>89</v>
      </c>
      <c r="I12" s="127"/>
      <c r="J12" s="127">
        <f>FLOOR((J2+K8)*'S3'!D5,100000)</f>
        <v>0</v>
      </c>
      <c r="K12" s="127" t="s">
        <v>208</v>
      </c>
    </row>
    <row r="13" spans="2:11" x14ac:dyDescent="0.25">
      <c r="B13" s="193"/>
      <c r="C13" s="105" t="s">
        <v>77</v>
      </c>
      <c r="D13" s="196">
        <f>J4-D10-D11-D12</f>
        <v>120665000</v>
      </c>
      <c r="E13" s="196"/>
      <c r="F13" s="106">
        <f t="shared" si="2"/>
        <v>0.18549505958854887</v>
      </c>
      <c r="H13" s="126" t="s">
        <v>206</v>
      </c>
      <c r="I13" s="127"/>
      <c r="J13" s="127">
        <f>FLOOR((J3+K8)*'S3'!D5,100000)</f>
        <v>0</v>
      </c>
      <c r="K13" s="127"/>
    </row>
    <row r="14" spans="2:11" x14ac:dyDescent="0.25">
      <c r="H14" s="126" t="s">
        <v>207</v>
      </c>
      <c r="I14" s="127"/>
      <c r="J14" s="127">
        <f>FLOOR((J4+K8)*'S3'!D5,100000)</f>
        <v>0</v>
      </c>
      <c r="K14" s="127"/>
    </row>
    <row r="15" spans="2:11" x14ac:dyDescent="0.25">
      <c r="D15" s="201" t="s">
        <v>210</v>
      </c>
      <c r="E15" s="201"/>
      <c r="F15" s="201"/>
      <c r="H15" s="120" t="s">
        <v>89</v>
      </c>
      <c r="I15" s="8" t="s">
        <v>212</v>
      </c>
      <c r="J15" s="8">
        <f>FLOOR((J12*(1+K9*0.01)*(1+K10*0.01)*(1+K11*0.01)),100000)</f>
        <v>0</v>
      </c>
      <c r="K15" s="204" t="s">
        <v>209</v>
      </c>
    </row>
    <row r="16" spans="2:11" x14ac:dyDescent="0.25">
      <c r="D16" s="103" t="s">
        <v>74</v>
      </c>
      <c r="F16" s="128">
        <f>(D10-D2)/2</f>
        <v>51425000</v>
      </c>
      <c r="H16" s="120" t="s">
        <v>206</v>
      </c>
      <c r="I16" s="8" t="s">
        <v>212</v>
      </c>
      <c r="J16" s="8">
        <f>FLOOR((J13*(1+K9*0.01)*(1+K10*0.01)*(1+K11*0.01)),100000)</f>
        <v>0</v>
      </c>
      <c r="K16" s="204"/>
    </row>
    <row r="17" spans="1:12" x14ac:dyDescent="0.25">
      <c r="D17" s="103" t="s">
        <v>76</v>
      </c>
      <c r="F17" s="129">
        <f>(D12-D4)/2</f>
        <v>4207500</v>
      </c>
      <c r="H17" s="156" t="s">
        <v>207</v>
      </c>
      <c r="I17" s="157" t="s">
        <v>212</v>
      </c>
      <c r="J17" s="157">
        <f>FLOOR((J14*(1+K9*0.01)*(1+K10*0.01)*(1+K11*0.01)),100000)</f>
        <v>0</v>
      </c>
      <c r="K17" s="207"/>
    </row>
    <row r="18" spans="1:12" ht="18.75" x14ac:dyDescent="0.25">
      <c r="D18" s="103" t="s">
        <v>77</v>
      </c>
      <c r="F18" s="129">
        <f>(D13-D5)/2</f>
        <v>-20121250</v>
      </c>
      <c r="H18" s="205" t="s">
        <v>214</v>
      </c>
      <c r="I18" s="206"/>
      <c r="J18" s="161">
        <f>Invoice!C20</f>
        <v>28</v>
      </c>
      <c r="K18" s="121"/>
    </row>
    <row r="19" spans="1:12" x14ac:dyDescent="0.25">
      <c r="H19" s="158" t="s">
        <v>89</v>
      </c>
      <c r="I19" s="159" t="s">
        <v>211</v>
      </c>
      <c r="J19" s="159">
        <f>J15*(100-$J$18)/100</f>
        <v>0</v>
      </c>
      <c r="K19" s="203" t="s">
        <v>209</v>
      </c>
    </row>
    <row r="20" spans="1:12" x14ac:dyDescent="0.25">
      <c r="H20" s="120" t="s">
        <v>206</v>
      </c>
      <c r="I20" s="8" t="s">
        <v>211</v>
      </c>
      <c r="J20" s="159">
        <f t="shared" ref="J20:J21" si="3">J16*(100-$J$18)/100</f>
        <v>0</v>
      </c>
      <c r="K20" s="204"/>
    </row>
    <row r="21" spans="1:12" x14ac:dyDescent="0.25">
      <c r="H21" s="120" t="s">
        <v>207</v>
      </c>
      <c r="I21" s="8" t="s">
        <v>211</v>
      </c>
      <c r="J21" s="159">
        <f t="shared" si="3"/>
        <v>0</v>
      </c>
      <c r="K21" s="204"/>
    </row>
    <row r="22" spans="1:12" x14ac:dyDescent="0.25">
      <c r="A22" s="152"/>
      <c r="B22" s="152"/>
      <c r="C22" s="152"/>
      <c r="D22" s="152"/>
      <c r="E22" s="152"/>
      <c r="F22" s="152"/>
      <c r="G22" s="152"/>
      <c r="H22" s="153"/>
      <c r="I22" s="155"/>
      <c r="J22" s="154"/>
      <c r="K22" s="155"/>
      <c r="L22" s="152"/>
    </row>
    <row r="23" spans="1:12" ht="21" x14ac:dyDescent="0.25">
      <c r="B23" s="1"/>
      <c r="C23" s="1"/>
      <c r="D23" s="200" t="s">
        <v>30</v>
      </c>
      <c r="E23" s="200"/>
      <c r="F23" s="200"/>
      <c r="G23" s="2"/>
    </row>
    <row r="24" spans="1:12" x14ac:dyDescent="0.25">
      <c r="B24" s="3"/>
      <c r="C24" s="3"/>
      <c r="D24" s="4" t="s">
        <v>0</v>
      </c>
      <c r="E24" s="4" t="s">
        <v>1</v>
      </c>
      <c r="F24" s="5" t="s">
        <v>28</v>
      </c>
      <c r="G24" s="2"/>
    </row>
    <row r="25" spans="1:12" ht="40.15" customHeight="1" x14ac:dyDescent="0.25">
      <c r="B25" s="3"/>
      <c r="C25" s="37" t="str">
        <f>'S3'!D8</f>
        <v xml:space="preserve">120Nm بکر آلمان </v>
      </c>
      <c r="D25" s="6">
        <v>1</v>
      </c>
      <c r="E25" s="7" t="s">
        <v>2</v>
      </c>
      <c r="F25" s="47">
        <f>IF(AND(C25="120Nm بکر آلمان "),K5,IF(AND(C25="120Nm  سامفی فرانسه "),K6,IF(AND(C25="120Nm  اختصاصی سایه روشن "),K7,0)))</f>
        <v>210000000</v>
      </c>
      <c r="G25" s="8">
        <f t="shared" ref="G25:G36" si="4">F25*D25</f>
        <v>210000000</v>
      </c>
    </row>
    <row r="26" spans="1:12" ht="40.15" customHeight="1" x14ac:dyDescent="0.25">
      <c r="B26" s="3"/>
      <c r="C26" s="3" t="s">
        <v>26</v>
      </c>
      <c r="D26" s="6">
        <v>2</v>
      </c>
      <c r="E26" s="7" t="s">
        <v>2</v>
      </c>
      <c r="F26" s="47">
        <v>1200000</v>
      </c>
      <c r="G26" s="8">
        <f t="shared" si="4"/>
        <v>2400000</v>
      </c>
    </row>
    <row r="27" spans="1:12" ht="40.15" customHeight="1" x14ac:dyDescent="0.25">
      <c r="B27" s="3"/>
      <c r="C27" s="3" t="s">
        <v>3</v>
      </c>
      <c r="D27" s="6">
        <v>1.5</v>
      </c>
      <c r="E27" s="7" t="s">
        <v>4</v>
      </c>
      <c r="F27" s="47">
        <v>750000</v>
      </c>
      <c r="G27" s="8">
        <f t="shared" si="4"/>
        <v>1125000</v>
      </c>
    </row>
    <row r="28" spans="1:12" ht="40.15" customHeight="1" x14ac:dyDescent="0.25">
      <c r="B28" s="3"/>
      <c r="C28" s="3" t="s">
        <v>27</v>
      </c>
      <c r="D28" s="6">
        <v>2</v>
      </c>
      <c r="E28" s="7" t="s">
        <v>2</v>
      </c>
      <c r="F28" s="47">
        <v>350000</v>
      </c>
      <c r="G28" s="8">
        <f t="shared" si="4"/>
        <v>700000</v>
      </c>
    </row>
    <row r="29" spans="1:12" ht="40.15" customHeight="1" x14ac:dyDescent="0.25">
      <c r="B29" s="3"/>
      <c r="C29" s="3" t="s">
        <v>5</v>
      </c>
      <c r="D29" s="38">
        <f>IF(AND('S3'!D4&lt;=4),('S3'!D4-0.8),IF(AND('S3'!D4&gt;4),(('S3'!D4/2)-0.8),0))</f>
        <v>-0.8</v>
      </c>
      <c r="E29" s="7" t="s">
        <v>2</v>
      </c>
      <c r="F29" s="47">
        <f>H29*'S3'!D11</f>
        <v>4400000</v>
      </c>
      <c r="G29" s="8">
        <f t="shared" si="4"/>
        <v>-3520000</v>
      </c>
      <c r="H29">
        <v>2</v>
      </c>
    </row>
    <row r="30" spans="1:12" ht="40.15" customHeight="1" x14ac:dyDescent="0.25">
      <c r="B30" s="3"/>
      <c r="C30" s="3" t="s">
        <v>29</v>
      </c>
      <c r="D30" s="6">
        <v>2</v>
      </c>
      <c r="E30" s="7" t="s">
        <v>2</v>
      </c>
      <c r="F30" s="47">
        <v>750000</v>
      </c>
      <c r="G30" s="8">
        <f t="shared" si="4"/>
        <v>1500000</v>
      </c>
    </row>
    <row r="31" spans="1:12" ht="40.15" customHeight="1" x14ac:dyDescent="0.25">
      <c r="B31" s="3"/>
      <c r="C31" s="3" t="s">
        <v>6</v>
      </c>
      <c r="D31" s="6">
        <v>2</v>
      </c>
      <c r="E31" s="7" t="s">
        <v>2</v>
      </c>
      <c r="F31" s="47">
        <v>850000</v>
      </c>
      <c r="G31" s="8">
        <f t="shared" si="4"/>
        <v>1700000</v>
      </c>
    </row>
    <row r="32" spans="1:12" ht="40.15" customHeight="1" x14ac:dyDescent="0.25">
      <c r="B32" s="3"/>
      <c r="C32" s="3" t="s">
        <v>7</v>
      </c>
      <c r="D32" s="6">
        <v>1</v>
      </c>
      <c r="E32" s="7" t="s">
        <v>2</v>
      </c>
      <c r="F32" s="47">
        <v>2500000</v>
      </c>
      <c r="G32" s="8">
        <f t="shared" si="4"/>
        <v>2500000</v>
      </c>
    </row>
    <row r="33" spans="2:8" ht="40.15" customHeight="1" x14ac:dyDescent="0.25">
      <c r="B33" s="3"/>
      <c r="C33" s="3" t="s">
        <v>8</v>
      </c>
      <c r="D33" s="6">
        <v>1</v>
      </c>
      <c r="E33" s="7" t="s">
        <v>2</v>
      </c>
      <c r="F33" s="47">
        <v>1400000</v>
      </c>
      <c r="G33" s="8">
        <f t="shared" si="4"/>
        <v>1400000</v>
      </c>
    </row>
    <row r="34" spans="2:8" ht="40.15" customHeight="1" x14ac:dyDescent="0.25">
      <c r="B34" s="3"/>
      <c r="C34" s="3" t="s">
        <v>9</v>
      </c>
      <c r="D34" s="6">
        <v>6</v>
      </c>
      <c r="E34" s="7" t="s">
        <v>2</v>
      </c>
      <c r="F34" s="48">
        <v>40000</v>
      </c>
      <c r="G34" s="8">
        <f t="shared" si="4"/>
        <v>240000</v>
      </c>
    </row>
    <row r="35" spans="2:8" ht="40.15" customHeight="1" x14ac:dyDescent="0.25">
      <c r="B35" s="3"/>
      <c r="C35" s="3" t="s">
        <v>10</v>
      </c>
      <c r="D35" s="6">
        <v>1</v>
      </c>
      <c r="E35" s="7" t="s">
        <v>2</v>
      </c>
      <c r="F35" s="48">
        <v>60000</v>
      </c>
      <c r="G35" s="8">
        <f t="shared" si="4"/>
        <v>60000</v>
      </c>
    </row>
    <row r="36" spans="2:8" ht="40.15" customHeight="1" x14ac:dyDescent="0.25">
      <c r="B36" s="3"/>
      <c r="C36" s="3" t="s">
        <v>11</v>
      </c>
      <c r="D36" s="6">
        <v>5</v>
      </c>
      <c r="E36" s="9" t="s">
        <v>12</v>
      </c>
      <c r="F36" s="47">
        <f>'S3'!D12</f>
        <v>450000</v>
      </c>
      <c r="G36" s="8">
        <f t="shared" si="4"/>
        <v>2250000</v>
      </c>
    </row>
    <row r="37" spans="2:8" ht="40.15" customHeight="1" x14ac:dyDescent="0.25">
      <c r="B37" s="10"/>
      <c r="C37" s="10"/>
      <c r="D37" s="197">
        <f>SUM(G25:G36)</f>
        <v>220355000</v>
      </c>
      <c r="E37" s="198"/>
      <c r="F37" s="198"/>
      <c r="G37" s="199"/>
    </row>
    <row r="39" spans="2:8" ht="21" x14ac:dyDescent="0.25">
      <c r="B39" s="1"/>
      <c r="C39" s="1"/>
      <c r="D39" s="200" t="s">
        <v>31</v>
      </c>
      <c r="E39" s="200"/>
      <c r="F39" s="200"/>
      <c r="G39" s="2"/>
    </row>
    <row r="40" spans="2:8" x14ac:dyDescent="0.25">
      <c r="B40" s="3" t="s">
        <v>42</v>
      </c>
      <c r="C40" s="40">
        <f>2+'S3'!F10</f>
        <v>2</v>
      </c>
      <c r="D40" s="4" t="s">
        <v>0</v>
      </c>
      <c r="E40" s="4" t="s">
        <v>1</v>
      </c>
      <c r="F40" s="5" t="s">
        <v>28</v>
      </c>
      <c r="G40" s="2"/>
    </row>
    <row r="41" spans="2:8" ht="40.15" customHeight="1" x14ac:dyDescent="0.25">
      <c r="B41" s="3"/>
      <c r="C41" s="37" t="s">
        <v>32</v>
      </c>
      <c r="D41" s="39">
        <f>C40*'S3'!D3</f>
        <v>0</v>
      </c>
      <c r="E41" s="7" t="s">
        <v>4</v>
      </c>
      <c r="F41" s="47">
        <f>H41*'S3'!D11</f>
        <v>13420000</v>
      </c>
      <c r="G41" s="8">
        <f t="shared" ref="G41:G48" si="5">F41*D41</f>
        <v>0</v>
      </c>
      <c r="H41">
        <v>6.1</v>
      </c>
    </row>
    <row r="42" spans="2:8" ht="40.15" customHeight="1" x14ac:dyDescent="0.25">
      <c r="B42" s="3"/>
      <c r="C42" s="3" t="s">
        <v>35</v>
      </c>
      <c r="D42" s="6">
        <f>(D41*2)+(C40*0.6)</f>
        <v>1.2</v>
      </c>
      <c r="E42" s="7" t="s">
        <v>2</v>
      </c>
      <c r="F42" s="47">
        <v>1800000</v>
      </c>
      <c r="G42" s="8">
        <f t="shared" si="5"/>
        <v>2160000</v>
      </c>
    </row>
    <row r="43" spans="2:8" ht="40.15" customHeight="1" x14ac:dyDescent="0.25">
      <c r="B43" s="3"/>
      <c r="C43" s="3" t="s">
        <v>36</v>
      </c>
      <c r="D43" s="6">
        <f>D41/0.25</f>
        <v>0</v>
      </c>
      <c r="E43" s="7" t="s">
        <v>4</v>
      </c>
      <c r="F43" s="47">
        <v>1200000</v>
      </c>
      <c r="G43" s="8">
        <f t="shared" si="5"/>
        <v>0</v>
      </c>
    </row>
    <row r="44" spans="2:8" ht="40.15" customHeight="1" x14ac:dyDescent="0.25">
      <c r="B44" s="3"/>
      <c r="C44" s="3" t="s">
        <v>38</v>
      </c>
      <c r="D44" s="6">
        <f>'S3'!D4*2</f>
        <v>0</v>
      </c>
      <c r="E44" s="7" t="s">
        <v>4</v>
      </c>
      <c r="F44" s="47">
        <v>2500000</v>
      </c>
      <c r="G44" s="8">
        <f t="shared" si="5"/>
        <v>0</v>
      </c>
    </row>
    <row r="45" spans="2:8" ht="40.15" customHeight="1" x14ac:dyDescent="0.25">
      <c r="B45" s="3"/>
      <c r="C45" s="3" t="s">
        <v>39</v>
      </c>
      <c r="D45" s="39">
        <f>C40</f>
        <v>2</v>
      </c>
      <c r="E45" s="7" t="s">
        <v>2</v>
      </c>
      <c r="F45" s="48">
        <v>200000</v>
      </c>
      <c r="G45" s="8">
        <f t="shared" si="5"/>
        <v>400000</v>
      </c>
    </row>
    <row r="46" spans="2:8" ht="40.15" customHeight="1" x14ac:dyDescent="0.25">
      <c r="B46" s="3"/>
      <c r="C46" s="3" t="s">
        <v>40</v>
      </c>
      <c r="D46" s="6">
        <f>12*C40</f>
        <v>24</v>
      </c>
      <c r="E46" s="7" t="s">
        <v>2</v>
      </c>
      <c r="F46" s="48">
        <v>40000</v>
      </c>
      <c r="G46" s="8">
        <f t="shared" si="5"/>
        <v>960000</v>
      </c>
    </row>
    <row r="47" spans="2:8" ht="40.15" customHeight="1" x14ac:dyDescent="0.25">
      <c r="B47" s="3"/>
      <c r="C47" s="3" t="s">
        <v>41</v>
      </c>
      <c r="D47" s="6">
        <f>D46</f>
        <v>24</v>
      </c>
      <c r="E47" s="7" t="s">
        <v>2</v>
      </c>
      <c r="F47" s="2">
        <v>60000</v>
      </c>
      <c r="G47" s="8">
        <f t="shared" si="5"/>
        <v>1440000</v>
      </c>
    </row>
    <row r="48" spans="2:8" ht="40.15" customHeight="1" x14ac:dyDescent="0.25">
      <c r="B48" s="3"/>
      <c r="C48" s="3" t="s">
        <v>11</v>
      </c>
      <c r="D48" s="6">
        <f>H41*D41</f>
        <v>0</v>
      </c>
      <c r="E48" s="9" t="s">
        <v>12</v>
      </c>
      <c r="F48" s="47">
        <f>'S3'!D12</f>
        <v>450000</v>
      </c>
      <c r="G48" s="8">
        <f t="shared" si="5"/>
        <v>0</v>
      </c>
    </row>
    <row r="49" spans="2:7" ht="40.15" customHeight="1" x14ac:dyDescent="0.25">
      <c r="B49" s="10"/>
      <c r="C49" s="10"/>
      <c r="D49" s="197">
        <f>SUM(G41:G48)</f>
        <v>4960000</v>
      </c>
      <c r="E49" s="198"/>
      <c r="F49" s="198"/>
      <c r="G49" s="199"/>
    </row>
    <row r="52" spans="2:7" ht="21" x14ac:dyDescent="0.25">
      <c r="B52" s="1"/>
      <c r="C52" s="1"/>
      <c r="D52" s="200" t="s">
        <v>43</v>
      </c>
      <c r="E52" s="200"/>
      <c r="F52" s="200"/>
      <c r="G52" s="2"/>
    </row>
    <row r="53" spans="2:7" x14ac:dyDescent="0.25">
      <c r="B53" s="3" t="s">
        <v>42</v>
      </c>
      <c r="C53" s="40">
        <f>2+'S3'!F10</f>
        <v>2</v>
      </c>
      <c r="D53" s="4" t="s">
        <v>0</v>
      </c>
      <c r="E53" s="4" t="s">
        <v>1</v>
      </c>
      <c r="F53" s="5" t="s">
        <v>28</v>
      </c>
      <c r="G53" s="2"/>
    </row>
    <row r="54" spans="2:7" ht="40.15" customHeight="1" x14ac:dyDescent="0.25">
      <c r="B54" s="3"/>
      <c r="C54" s="3" t="s">
        <v>44</v>
      </c>
      <c r="D54" s="39">
        <f>C53</f>
        <v>2</v>
      </c>
      <c r="E54" s="7" t="s">
        <v>2</v>
      </c>
      <c r="F54" s="47">
        <v>2100000</v>
      </c>
      <c r="G54" s="8">
        <f t="shared" ref="G54:G65" si="6">F54*D54</f>
        <v>4200000</v>
      </c>
    </row>
    <row r="55" spans="2:7" ht="40.15" customHeight="1" x14ac:dyDescent="0.25">
      <c r="B55" s="3"/>
      <c r="C55" s="3" t="s">
        <v>45</v>
      </c>
      <c r="D55" s="39">
        <f>C53</f>
        <v>2</v>
      </c>
      <c r="E55" s="7" t="s">
        <v>2</v>
      </c>
      <c r="F55" s="47">
        <v>1500000</v>
      </c>
      <c r="G55" s="8">
        <f t="shared" si="6"/>
        <v>3000000</v>
      </c>
    </row>
    <row r="56" spans="2:7" ht="40.15" customHeight="1" x14ac:dyDescent="0.25">
      <c r="B56" s="3"/>
      <c r="C56" s="3" t="s">
        <v>46</v>
      </c>
      <c r="D56" s="6">
        <f>2*C53</f>
        <v>4</v>
      </c>
      <c r="E56" s="7" t="s">
        <v>2</v>
      </c>
      <c r="F56" s="47">
        <v>250000</v>
      </c>
      <c r="G56" s="8">
        <f t="shared" si="6"/>
        <v>1000000</v>
      </c>
    </row>
    <row r="57" spans="2:7" ht="40.15" customHeight="1" x14ac:dyDescent="0.25">
      <c r="B57" s="3"/>
      <c r="C57" s="3" t="s">
        <v>50</v>
      </c>
      <c r="D57" s="6">
        <f>2*C53</f>
        <v>4</v>
      </c>
      <c r="E57" s="7" t="s">
        <v>2</v>
      </c>
      <c r="F57" s="2">
        <v>50000</v>
      </c>
      <c r="G57" s="8">
        <f t="shared" si="6"/>
        <v>200000</v>
      </c>
    </row>
    <row r="58" spans="2:7" ht="40.15" customHeight="1" x14ac:dyDescent="0.25">
      <c r="B58" s="3"/>
      <c r="C58" s="3" t="s">
        <v>27</v>
      </c>
      <c r="D58" s="39">
        <f>D54</f>
        <v>2</v>
      </c>
      <c r="E58" s="7" t="s">
        <v>4</v>
      </c>
      <c r="F58" s="47">
        <v>350000</v>
      </c>
      <c r="G58" s="8">
        <f t="shared" si="6"/>
        <v>700000</v>
      </c>
    </row>
    <row r="59" spans="2:7" ht="40.15" customHeight="1" x14ac:dyDescent="0.25">
      <c r="B59" s="3"/>
      <c r="C59" s="3" t="s">
        <v>29</v>
      </c>
      <c r="D59" s="6">
        <v>2</v>
      </c>
      <c r="E59" s="7" t="s">
        <v>2</v>
      </c>
      <c r="F59" s="47">
        <v>750000</v>
      </c>
      <c r="G59" s="8">
        <f t="shared" si="6"/>
        <v>1500000</v>
      </c>
    </row>
    <row r="60" spans="2:7" ht="40.15" customHeight="1" x14ac:dyDescent="0.25">
      <c r="B60" s="3"/>
      <c r="C60" s="3" t="s">
        <v>5</v>
      </c>
      <c r="D60" s="38">
        <f>0.25*C53</f>
        <v>0.5</v>
      </c>
      <c r="E60" s="7" t="s">
        <v>2</v>
      </c>
      <c r="F60" s="47">
        <v>7000000</v>
      </c>
      <c r="G60" s="8">
        <f t="shared" si="6"/>
        <v>3500000</v>
      </c>
    </row>
    <row r="61" spans="2:7" ht="40.15" customHeight="1" x14ac:dyDescent="0.25">
      <c r="B61" s="3"/>
      <c r="C61" s="3" t="s">
        <v>6</v>
      </c>
      <c r="D61" s="6">
        <v>2</v>
      </c>
      <c r="E61" s="7" t="s">
        <v>2</v>
      </c>
      <c r="F61" s="47">
        <v>850000</v>
      </c>
      <c r="G61" s="8">
        <f t="shared" si="6"/>
        <v>1700000</v>
      </c>
    </row>
    <row r="62" spans="2:7" ht="40.15" customHeight="1" x14ac:dyDescent="0.25">
      <c r="B62" s="3"/>
      <c r="C62" s="3" t="s">
        <v>48</v>
      </c>
      <c r="D62" s="6">
        <f>D58*2</f>
        <v>4</v>
      </c>
      <c r="E62" s="7" t="s">
        <v>2</v>
      </c>
      <c r="F62" s="2">
        <v>60000</v>
      </c>
      <c r="G62" s="8">
        <f t="shared" si="6"/>
        <v>240000</v>
      </c>
    </row>
    <row r="63" spans="2:7" ht="40.15" customHeight="1" x14ac:dyDescent="0.25">
      <c r="B63" s="3"/>
      <c r="C63" s="3" t="s">
        <v>49</v>
      </c>
      <c r="D63" s="6">
        <f>4*C53</f>
        <v>8</v>
      </c>
      <c r="E63" s="7" t="s">
        <v>2</v>
      </c>
      <c r="F63" s="2">
        <v>60000</v>
      </c>
      <c r="G63" s="8">
        <f t="shared" si="6"/>
        <v>480000</v>
      </c>
    </row>
    <row r="64" spans="2:7" ht="40.15" customHeight="1" x14ac:dyDescent="0.25">
      <c r="B64" s="3"/>
      <c r="C64" s="3" t="s">
        <v>47</v>
      </c>
      <c r="D64" s="39">
        <f>C53</f>
        <v>2</v>
      </c>
      <c r="E64" s="7" t="s">
        <v>2</v>
      </c>
      <c r="F64" s="2">
        <v>350000</v>
      </c>
      <c r="G64" s="8">
        <f t="shared" si="6"/>
        <v>700000</v>
      </c>
    </row>
    <row r="65" spans="2:7" ht="40.15" customHeight="1" x14ac:dyDescent="0.25">
      <c r="B65" s="3"/>
      <c r="C65" s="3" t="s">
        <v>11</v>
      </c>
      <c r="D65" s="6">
        <f>4*C53</f>
        <v>8</v>
      </c>
      <c r="E65" s="9" t="s">
        <v>12</v>
      </c>
      <c r="F65" s="47">
        <f>'S3'!D12</f>
        <v>450000</v>
      </c>
      <c r="G65" s="8">
        <f t="shared" si="6"/>
        <v>3600000</v>
      </c>
    </row>
    <row r="66" spans="2:7" ht="40.15" customHeight="1" x14ac:dyDescent="0.25">
      <c r="B66" s="10"/>
      <c r="C66" s="10"/>
      <c r="D66" s="197">
        <f>SUM(G54:G65)</f>
        <v>20820000</v>
      </c>
      <c r="E66" s="198"/>
      <c r="F66" s="198"/>
      <c r="G66" s="199"/>
    </row>
    <row r="69" spans="2:7" ht="21" x14ac:dyDescent="0.25">
      <c r="B69" s="1"/>
      <c r="C69" s="1"/>
      <c r="D69" s="200" t="s">
        <v>51</v>
      </c>
      <c r="E69" s="200"/>
      <c r="F69" s="200"/>
      <c r="G69" s="2"/>
    </row>
    <row r="70" spans="2:7" x14ac:dyDescent="0.25">
      <c r="B70" s="3" t="s">
        <v>42</v>
      </c>
      <c r="C70" s="40">
        <f>2+'S3'!F10</f>
        <v>2</v>
      </c>
      <c r="D70" s="4" t="s">
        <v>0</v>
      </c>
      <c r="E70" s="4" t="s">
        <v>1</v>
      </c>
      <c r="F70" s="5" t="s">
        <v>28</v>
      </c>
      <c r="G70" s="2"/>
    </row>
    <row r="71" spans="2:7" ht="40.15" customHeight="1" x14ac:dyDescent="0.25">
      <c r="B71" s="3"/>
      <c r="C71" s="3" t="s">
        <v>44</v>
      </c>
      <c r="D71" s="39">
        <f>C70</f>
        <v>2</v>
      </c>
      <c r="E71" s="7" t="s">
        <v>2</v>
      </c>
      <c r="F71" s="47">
        <v>3500000</v>
      </c>
      <c r="G71" s="8">
        <f t="shared" ref="G71:G77" si="7">F71*D71</f>
        <v>7000000</v>
      </c>
    </row>
    <row r="72" spans="2:7" ht="40.15" customHeight="1" x14ac:dyDescent="0.25">
      <c r="B72" s="3"/>
      <c r="C72" s="3" t="s">
        <v>52</v>
      </c>
      <c r="D72" s="39">
        <f>C70</f>
        <v>2</v>
      </c>
      <c r="E72" s="7" t="s">
        <v>2</v>
      </c>
      <c r="F72" s="47">
        <v>1300000</v>
      </c>
      <c r="G72" s="8">
        <f t="shared" si="7"/>
        <v>2600000</v>
      </c>
    </row>
    <row r="73" spans="2:7" ht="40.15" customHeight="1" x14ac:dyDescent="0.25">
      <c r="B73" s="3"/>
      <c r="C73" s="3" t="s">
        <v>53</v>
      </c>
      <c r="D73" s="39">
        <f>C70</f>
        <v>2</v>
      </c>
      <c r="E73" s="7" t="s">
        <v>2</v>
      </c>
      <c r="F73" s="47">
        <v>470000</v>
      </c>
      <c r="G73" s="8">
        <f t="shared" si="7"/>
        <v>940000</v>
      </c>
    </row>
    <row r="74" spans="2:7" ht="40.15" customHeight="1" x14ac:dyDescent="0.25">
      <c r="B74" s="3"/>
      <c r="C74" s="3" t="s">
        <v>54</v>
      </c>
      <c r="D74" s="6">
        <f>2*C70</f>
        <v>4</v>
      </c>
      <c r="E74" s="7" t="s">
        <v>2</v>
      </c>
      <c r="F74" s="2">
        <v>50000</v>
      </c>
      <c r="G74" s="8">
        <f t="shared" si="7"/>
        <v>200000</v>
      </c>
    </row>
    <row r="75" spans="2:7" ht="40.15" customHeight="1" x14ac:dyDescent="0.25">
      <c r="B75" s="3"/>
      <c r="C75" s="3" t="s">
        <v>55</v>
      </c>
      <c r="D75" s="39">
        <f>D72</f>
        <v>2</v>
      </c>
      <c r="E75" s="7" t="s">
        <v>2</v>
      </c>
      <c r="F75" s="2">
        <v>60000</v>
      </c>
      <c r="G75" s="8">
        <f t="shared" si="7"/>
        <v>120000</v>
      </c>
    </row>
    <row r="76" spans="2:7" ht="40.15" customHeight="1" x14ac:dyDescent="0.25">
      <c r="B76" s="3"/>
      <c r="C76" s="3" t="s">
        <v>47</v>
      </c>
      <c r="D76" s="39">
        <f>C70</f>
        <v>2</v>
      </c>
      <c r="E76" s="7" t="s">
        <v>2</v>
      </c>
      <c r="F76" s="2">
        <v>350000</v>
      </c>
      <c r="G76" s="8">
        <f t="shared" si="7"/>
        <v>700000</v>
      </c>
    </row>
    <row r="77" spans="2:7" ht="40.15" customHeight="1" x14ac:dyDescent="0.25">
      <c r="B77" s="3"/>
      <c r="C77" s="3" t="s">
        <v>11</v>
      </c>
      <c r="D77" s="6">
        <f>4*C70</f>
        <v>8</v>
      </c>
      <c r="E77" s="9" t="s">
        <v>12</v>
      </c>
      <c r="F77" s="47">
        <f>'S3'!D12</f>
        <v>450000</v>
      </c>
      <c r="G77" s="8">
        <f t="shared" si="7"/>
        <v>3600000</v>
      </c>
    </row>
    <row r="78" spans="2:7" ht="40.15" customHeight="1" x14ac:dyDescent="0.25">
      <c r="B78" s="10"/>
      <c r="C78" s="10"/>
      <c r="D78" s="197">
        <f>SUM(G71:G77)</f>
        <v>15160000</v>
      </c>
      <c r="E78" s="198"/>
      <c r="F78" s="198"/>
      <c r="G78" s="199"/>
    </row>
    <row r="81" spans="2:8" ht="21" x14ac:dyDescent="0.25">
      <c r="B81" s="1"/>
      <c r="C81" s="1"/>
      <c r="D81" s="200" t="s">
        <v>56</v>
      </c>
      <c r="E81" s="200"/>
      <c r="F81" s="200"/>
      <c r="G81" s="2"/>
    </row>
    <row r="82" spans="2:8" x14ac:dyDescent="0.25">
      <c r="B82" s="3" t="s">
        <v>59</v>
      </c>
      <c r="C82" s="40">
        <f>'S3'!D3/0.25</f>
        <v>0</v>
      </c>
      <c r="D82" s="4" t="s">
        <v>0</v>
      </c>
      <c r="E82" s="4" t="s">
        <v>1</v>
      </c>
      <c r="F82" s="5" t="s">
        <v>28</v>
      </c>
      <c r="G82" s="2"/>
    </row>
    <row r="83" spans="2:8" ht="40.15" customHeight="1" x14ac:dyDescent="0.25">
      <c r="B83" s="3"/>
      <c r="C83" s="3" t="s">
        <v>57</v>
      </c>
      <c r="D83" s="39">
        <f>(C82*'S3'!D4)</f>
        <v>0</v>
      </c>
      <c r="E83" s="7" t="s">
        <v>2</v>
      </c>
      <c r="F83" s="47">
        <f>H83*'S3'!$D$11</f>
        <v>7194000</v>
      </c>
      <c r="G83" s="8">
        <f t="shared" ref="G83:G91" si="8">F83*D83</f>
        <v>0</v>
      </c>
      <c r="H83">
        <v>3.27</v>
      </c>
    </row>
    <row r="84" spans="2:8" ht="40.15" customHeight="1" x14ac:dyDescent="0.25">
      <c r="B84" s="3"/>
      <c r="C84" s="3" t="s">
        <v>58</v>
      </c>
      <c r="D84" s="39">
        <f>C82*2</f>
        <v>0</v>
      </c>
      <c r="E84" s="7" t="s">
        <v>2</v>
      </c>
      <c r="F84" s="47">
        <v>450000</v>
      </c>
      <c r="G84" s="8">
        <f t="shared" si="8"/>
        <v>0</v>
      </c>
    </row>
    <row r="85" spans="2:8" ht="40.15" customHeight="1" x14ac:dyDescent="0.25">
      <c r="B85" s="3"/>
      <c r="C85" s="3" t="s">
        <v>60</v>
      </c>
      <c r="D85" s="39">
        <f>D43</f>
        <v>0</v>
      </c>
      <c r="E85" s="7" t="s">
        <v>2</v>
      </c>
      <c r="F85" s="47">
        <v>550000</v>
      </c>
      <c r="G85" s="8">
        <f t="shared" si="8"/>
        <v>0</v>
      </c>
    </row>
    <row r="86" spans="2:8" ht="40.15" customHeight="1" x14ac:dyDescent="0.25">
      <c r="B86" s="3"/>
      <c r="C86" s="3" t="s">
        <v>61</v>
      </c>
      <c r="D86" s="6">
        <f>'S3'!D3*2</f>
        <v>0</v>
      </c>
      <c r="E86" s="7" t="s">
        <v>4</v>
      </c>
      <c r="F86" s="47">
        <f>H86*'S3'!D11</f>
        <v>2860000</v>
      </c>
      <c r="G86" s="8">
        <f t="shared" si="8"/>
        <v>0</v>
      </c>
      <c r="H86">
        <v>1.3</v>
      </c>
    </row>
    <row r="87" spans="2:8" ht="40.15" customHeight="1" x14ac:dyDescent="0.25">
      <c r="B87" s="3"/>
      <c r="C87" s="3" t="s">
        <v>62</v>
      </c>
      <c r="D87" s="39">
        <v>6</v>
      </c>
      <c r="E87" s="7" t="s">
        <v>2</v>
      </c>
      <c r="F87" s="47">
        <v>1200000</v>
      </c>
      <c r="G87" s="8">
        <f t="shared" si="8"/>
        <v>7200000</v>
      </c>
    </row>
    <row r="88" spans="2:8" ht="40.15" customHeight="1" x14ac:dyDescent="0.25">
      <c r="B88" s="3"/>
      <c r="C88" s="3" t="s">
        <v>63</v>
      </c>
      <c r="D88" s="39">
        <f>D87</f>
        <v>6</v>
      </c>
      <c r="E88" s="7" t="s">
        <v>2</v>
      </c>
      <c r="F88" s="47">
        <v>350000</v>
      </c>
      <c r="G88" s="8">
        <f t="shared" si="8"/>
        <v>2100000</v>
      </c>
    </row>
    <row r="89" spans="2:8" ht="40.15" customHeight="1" x14ac:dyDescent="0.25">
      <c r="B89" s="3"/>
      <c r="C89" s="3" t="s">
        <v>53</v>
      </c>
      <c r="D89" s="39">
        <f>D87</f>
        <v>6</v>
      </c>
      <c r="E89" s="7" t="s">
        <v>2</v>
      </c>
      <c r="F89" s="47">
        <v>470000</v>
      </c>
      <c r="G89" s="8">
        <f t="shared" si="8"/>
        <v>2820000</v>
      </c>
    </row>
    <row r="90" spans="2:8" ht="40.15" customHeight="1" x14ac:dyDescent="0.25">
      <c r="B90" s="3"/>
      <c r="C90" s="3" t="s">
        <v>64</v>
      </c>
      <c r="D90" s="39">
        <v>2</v>
      </c>
      <c r="E90" s="7" t="s">
        <v>2</v>
      </c>
      <c r="F90" s="47">
        <v>90000000</v>
      </c>
      <c r="G90" s="8">
        <f t="shared" si="8"/>
        <v>180000000</v>
      </c>
    </row>
    <row r="91" spans="2:8" ht="40.15" customHeight="1" x14ac:dyDescent="0.25">
      <c r="B91" s="3"/>
      <c r="C91" s="3" t="s">
        <v>11</v>
      </c>
      <c r="D91" s="6">
        <f>((H83*D83)+(H86*D86))</f>
        <v>0</v>
      </c>
      <c r="E91" s="9" t="s">
        <v>12</v>
      </c>
      <c r="F91" s="47">
        <f>'S3'!D12</f>
        <v>450000</v>
      </c>
      <c r="G91" s="8">
        <f t="shared" si="8"/>
        <v>0</v>
      </c>
    </row>
    <row r="92" spans="2:8" ht="40.15" customHeight="1" x14ac:dyDescent="0.25">
      <c r="B92" s="10"/>
      <c r="C92" s="10"/>
      <c r="D92" s="197">
        <f>SUM(G83:G91)</f>
        <v>192120000</v>
      </c>
      <c r="E92" s="198"/>
      <c r="F92" s="198"/>
      <c r="G92" s="199"/>
    </row>
    <row r="95" spans="2:8" ht="21" x14ac:dyDescent="0.25">
      <c r="B95" s="1"/>
      <c r="C95" s="1"/>
      <c r="D95" s="200" t="s">
        <v>65</v>
      </c>
      <c r="E95" s="200"/>
      <c r="F95" s="200"/>
      <c r="G95" s="2"/>
    </row>
    <row r="96" spans="2:8" x14ac:dyDescent="0.25">
      <c r="B96" s="3" t="s">
        <v>42</v>
      </c>
      <c r="C96" s="40">
        <f>C40</f>
        <v>2</v>
      </c>
      <c r="D96" s="4" t="s">
        <v>0</v>
      </c>
      <c r="E96" s="4" t="s">
        <v>1</v>
      </c>
      <c r="F96" s="5" t="s">
        <v>28</v>
      </c>
      <c r="G96" s="2"/>
    </row>
    <row r="97" spans="2:9" ht="40.15" customHeight="1" x14ac:dyDescent="0.25">
      <c r="B97" s="3"/>
      <c r="C97" s="3" t="s">
        <v>66</v>
      </c>
      <c r="D97" s="39">
        <f>C96*2*2.75</f>
        <v>11</v>
      </c>
      <c r="E97" s="7" t="s">
        <v>4</v>
      </c>
      <c r="F97" s="47">
        <f>H97*'S3'!$D$11</f>
        <v>9350000</v>
      </c>
      <c r="G97" s="8">
        <f t="shared" ref="G97:G105" si="9">F97*D97</f>
        <v>102850000</v>
      </c>
      <c r="H97">
        <v>4.25</v>
      </c>
      <c r="I97" s="100">
        <f>H97*D97</f>
        <v>46.75</v>
      </c>
    </row>
    <row r="98" spans="2:9" ht="40.15" customHeight="1" x14ac:dyDescent="0.25">
      <c r="B98" s="3"/>
      <c r="C98" s="3" t="s">
        <v>67</v>
      </c>
      <c r="D98" s="39">
        <f>('S3'!D3+'S3'!D4)*2</f>
        <v>0</v>
      </c>
      <c r="E98" s="7" t="s">
        <v>4</v>
      </c>
      <c r="F98" s="47">
        <f>H98*'S3'!$D$11</f>
        <v>8910000</v>
      </c>
      <c r="G98" s="8">
        <f t="shared" si="9"/>
        <v>0</v>
      </c>
      <c r="H98">
        <v>4.05</v>
      </c>
      <c r="I98" s="100">
        <f t="shared" ref="I98:I100" si="10">H98*D98</f>
        <v>0</v>
      </c>
    </row>
    <row r="99" spans="2:9" ht="40.15" customHeight="1" x14ac:dyDescent="0.25">
      <c r="B99" s="3"/>
      <c r="C99" s="3" t="s">
        <v>68</v>
      </c>
      <c r="D99" s="39">
        <f>D98</f>
        <v>0</v>
      </c>
      <c r="E99" s="7" t="s">
        <v>4</v>
      </c>
      <c r="F99" s="47">
        <f>H99*'S3'!$D$11</f>
        <v>2919400</v>
      </c>
      <c r="G99" s="8">
        <f t="shared" si="9"/>
        <v>0</v>
      </c>
      <c r="H99">
        <v>1.327</v>
      </c>
      <c r="I99" s="100">
        <f t="shared" si="10"/>
        <v>0</v>
      </c>
    </row>
    <row r="100" spans="2:9" ht="40.15" customHeight="1" x14ac:dyDescent="0.25">
      <c r="B100" s="3"/>
      <c r="C100" s="3" t="s">
        <v>69</v>
      </c>
      <c r="D100" s="38">
        <f>'S3'!D4*2</f>
        <v>0</v>
      </c>
      <c r="E100" s="7" t="s">
        <v>4</v>
      </c>
      <c r="F100" s="47">
        <f>H100*'S3'!$D$11</f>
        <v>3432000</v>
      </c>
      <c r="G100" s="8">
        <f t="shared" si="9"/>
        <v>0</v>
      </c>
      <c r="H100">
        <v>1.56</v>
      </c>
      <c r="I100" s="100">
        <f t="shared" si="10"/>
        <v>0</v>
      </c>
    </row>
    <row r="101" spans="2:9" ht="40.15" customHeight="1" x14ac:dyDescent="0.25">
      <c r="B101" s="3"/>
      <c r="C101" s="3" t="s">
        <v>70</v>
      </c>
      <c r="D101" s="39">
        <v>6</v>
      </c>
      <c r="E101" s="7" t="s">
        <v>2</v>
      </c>
      <c r="F101" s="47">
        <v>1200000</v>
      </c>
      <c r="G101" s="8">
        <f t="shared" si="9"/>
        <v>7200000</v>
      </c>
    </row>
    <row r="102" spans="2:9" ht="40.15" customHeight="1" x14ac:dyDescent="0.25">
      <c r="B102" s="3"/>
      <c r="C102" s="3" t="s">
        <v>71</v>
      </c>
      <c r="D102" s="39">
        <f>C96*2</f>
        <v>4</v>
      </c>
      <c r="E102" s="7" t="s">
        <v>2</v>
      </c>
      <c r="F102" s="47">
        <v>8000000</v>
      </c>
      <c r="G102" s="8">
        <f t="shared" si="9"/>
        <v>32000000</v>
      </c>
    </row>
    <row r="103" spans="2:9" ht="40.15" customHeight="1" x14ac:dyDescent="0.25">
      <c r="B103" s="3"/>
      <c r="C103" s="3" t="s">
        <v>72</v>
      </c>
      <c r="D103" s="39">
        <f>D102</f>
        <v>4</v>
      </c>
      <c r="E103" s="7" t="s">
        <v>2</v>
      </c>
      <c r="F103" s="47">
        <v>4800000</v>
      </c>
      <c r="G103" s="8">
        <f>F103*D103</f>
        <v>19200000</v>
      </c>
    </row>
    <row r="104" spans="2:9" ht="40.15" customHeight="1" x14ac:dyDescent="0.25">
      <c r="B104" s="3"/>
      <c r="C104" s="3" t="s">
        <v>73</v>
      </c>
      <c r="D104" s="39">
        <f>C96*2</f>
        <v>4</v>
      </c>
      <c r="E104" s="7" t="s">
        <v>4</v>
      </c>
      <c r="F104" s="47">
        <v>3700000</v>
      </c>
      <c r="G104" s="8">
        <f>F104*D104</f>
        <v>14800000</v>
      </c>
    </row>
    <row r="105" spans="2:9" ht="40.15" customHeight="1" x14ac:dyDescent="0.25">
      <c r="B105" s="3"/>
      <c r="C105" s="3" t="s">
        <v>11</v>
      </c>
      <c r="D105" s="6">
        <f>((H97*D97)+(H98*D98)+(H99*D99)+(H100*D100))</f>
        <v>46.75</v>
      </c>
      <c r="E105" s="9" t="s">
        <v>12</v>
      </c>
      <c r="F105" s="47">
        <f>'S3'!D12</f>
        <v>450000</v>
      </c>
      <c r="G105" s="8">
        <f t="shared" si="9"/>
        <v>21037500</v>
      </c>
    </row>
    <row r="106" spans="2:9" ht="40.15" customHeight="1" x14ac:dyDescent="0.25">
      <c r="B106" s="10"/>
      <c r="C106" s="10"/>
      <c r="D106" s="197">
        <f>SUM(G97:G105)</f>
        <v>197087500</v>
      </c>
      <c r="E106" s="198"/>
      <c r="F106" s="198"/>
      <c r="G106" s="199"/>
    </row>
    <row r="109" spans="2:9" ht="21" x14ac:dyDescent="0.25">
      <c r="B109" s="10"/>
      <c r="C109" s="10"/>
      <c r="D109" s="197">
        <f>D106-G97-G104-(0.4*G105)</f>
        <v>71022500</v>
      </c>
      <c r="E109" s="198"/>
      <c r="F109" s="198"/>
      <c r="G109" s="199"/>
    </row>
  </sheetData>
  <mergeCells count="36">
    <mergeCell ref="D92:G92"/>
    <mergeCell ref="D95:F95"/>
    <mergeCell ref="D106:G106"/>
    <mergeCell ref="D109:G109"/>
    <mergeCell ref="D49:G49"/>
    <mergeCell ref="D52:F52"/>
    <mergeCell ref="D66:G66"/>
    <mergeCell ref="D69:F69"/>
    <mergeCell ref="D78:G78"/>
    <mergeCell ref="D81:F81"/>
    <mergeCell ref="K15:K17"/>
    <mergeCell ref="H18:I18"/>
    <mergeCell ref="K19:K21"/>
    <mergeCell ref="D23:F23"/>
    <mergeCell ref="D37:G37"/>
    <mergeCell ref="D39:F39"/>
    <mergeCell ref="B10:B13"/>
    <mergeCell ref="D10:E10"/>
    <mergeCell ref="D11:E11"/>
    <mergeCell ref="D12:E12"/>
    <mergeCell ref="D13:E13"/>
    <mergeCell ref="D15:F15"/>
    <mergeCell ref="B6:B9"/>
    <mergeCell ref="D6:E6"/>
    <mergeCell ref="D7:E7"/>
    <mergeCell ref="D8:E8"/>
    <mergeCell ref="H8:J8"/>
    <mergeCell ref="D9:E9"/>
    <mergeCell ref="B2:B5"/>
    <mergeCell ref="D2:E2"/>
    <mergeCell ref="H2:I2"/>
    <mergeCell ref="D3:E3"/>
    <mergeCell ref="H3:I3"/>
    <mergeCell ref="D4:E4"/>
    <mergeCell ref="H4:I4"/>
    <mergeCell ref="D5:E5"/>
  </mergeCells>
  <pageMargins left="0.7" right="0.7" top="0.75" bottom="0.75" header="0.3" footer="0.3"/>
  <pageSetup orientation="portrait" horizontalDpi="1200" verticalDpi="1200" r:id="rId1"/>
  <drawing r:id="rId2"/>
  <legacyDrawing r:id="rId3"/>
  <oleObjects>
    <mc:AlternateContent xmlns:mc="http://schemas.openxmlformats.org/markup-compatibility/2006">
      <mc:Choice Requires="x14">
        <oleObject progId="AutoCAD.Drawing.24" shapeId="23553" r:id="rId4">
          <objectPr defaultSize="0" autoPict="0" r:id="rId5">
            <anchor moveWithCells="1" sizeWithCells="1">
              <from>
                <xdr:col>1</xdr:col>
                <xdr:colOff>247650</xdr:colOff>
                <xdr:row>24</xdr:row>
                <xdr:rowOff>47625</xdr:rowOff>
              </from>
              <to>
                <xdr:col>1</xdr:col>
                <xdr:colOff>1485900</xdr:colOff>
                <xdr:row>24</xdr:row>
                <xdr:rowOff>476250</xdr:rowOff>
              </to>
            </anchor>
          </objectPr>
        </oleObject>
      </mc:Choice>
      <mc:Fallback>
        <oleObject progId="AutoCAD.Drawing.24" shapeId="23553" r:id="rId4"/>
      </mc:Fallback>
    </mc:AlternateContent>
    <mc:AlternateContent xmlns:mc="http://schemas.openxmlformats.org/markup-compatibility/2006">
      <mc:Choice Requires="x14">
        <oleObject progId="AutoCAD.Drawing.24" shapeId="23554" r:id="rId6">
          <objectPr defaultSize="0" autoPict="0" r:id="rId7">
            <anchor moveWithCells="1" sizeWithCells="1">
              <from>
                <xdr:col>1</xdr:col>
                <xdr:colOff>609600</xdr:colOff>
                <xdr:row>27</xdr:row>
                <xdr:rowOff>95250</xdr:rowOff>
              </from>
              <to>
                <xdr:col>1</xdr:col>
                <xdr:colOff>1143000</xdr:colOff>
                <xdr:row>27</xdr:row>
                <xdr:rowOff>438150</xdr:rowOff>
              </to>
            </anchor>
          </objectPr>
        </oleObject>
      </mc:Choice>
      <mc:Fallback>
        <oleObject progId="AutoCAD.Drawing.24" shapeId="23554" r:id="rId6"/>
      </mc:Fallback>
    </mc:AlternateContent>
    <mc:AlternateContent xmlns:mc="http://schemas.openxmlformats.org/markup-compatibility/2006">
      <mc:Choice Requires="x14">
        <oleObject progId="AutoCAD.Drawing.24" shapeId="23555" r:id="rId8">
          <objectPr defaultSize="0" autoPict="0" r:id="rId9">
            <anchor moveWithCells="1" sizeWithCells="1">
              <from>
                <xdr:col>1</xdr:col>
                <xdr:colOff>628650</xdr:colOff>
                <xdr:row>29</xdr:row>
                <xdr:rowOff>57150</xdr:rowOff>
              </from>
              <to>
                <xdr:col>1</xdr:col>
                <xdr:colOff>1123950</xdr:colOff>
                <xdr:row>29</xdr:row>
                <xdr:rowOff>438150</xdr:rowOff>
              </to>
            </anchor>
          </objectPr>
        </oleObject>
      </mc:Choice>
      <mc:Fallback>
        <oleObject progId="AutoCAD.Drawing.24" shapeId="23555" r:id="rId8"/>
      </mc:Fallback>
    </mc:AlternateContent>
    <mc:AlternateContent xmlns:mc="http://schemas.openxmlformats.org/markup-compatibility/2006">
      <mc:Choice Requires="x14">
        <oleObject progId="AutoCAD.Drawing.24" shapeId="23556" r:id="rId10">
          <objectPr defaultSize="0" autoPict="0" r:id="rId11">
            <anchor moveWithCells="1" sizeWithCells="1">
              <from>
                <xdr:col>1</xdr:col>
                <xdr:colOff>628650</xdr:colOff>
                <xdr:row>30</xdr:row>
                <xdr:rowOff>28575</xdr:rowOff>
              </from>
              <to>
                <xdr:col>1</xdr:col>
                <xdr:colOff>1047750</xdr:colOff>
                <xdr:row>30</xdr:row>
                <xdr:rowOff>476250</xdr:rowOff>
              </to>
            </anchor>
          </objectPr>
        </oleObject>
      </mc:Choice>
      <mc:Fallback>
        <oleObject progId="AutoCAD.Drawing.24" shapeId="23556" r:id="rId10"/>
      </mc:Fallback>
    </mc:AlternateContent>
    <mc:AlternateContent xmlns:mc="http://schemas.openxmlformats.org/markup-compatibility/2006">
      <mc:Choice Requires="x14">
        <oleObject progId="AutoCAD.Drawing.24" shapeId="23557" r:id="rId12">
          <objectPr defaultSize="0" autoPict="0" r:id="rId13">
            <anchor moveWithCells="1" sizeWithCells="1">
              <from>
                <xdr:col>1</xdr:col>
                <xdr:colOff>742950</xdr:colOff>
                <xdr:row>39</xdr:row>
                <xdr:rowOff>171450</xdr:rowOff>
              </from>
              <to>
                <xdr:col>1</xdr:col>
                <xdr:colOff>1047750</xdr:colOff>
                <xdr:row>40</xdr:row>
                <xdr:rowOff>504825</xdr:rowOff>
              </to>
            </anchor>
          </objectPr>
        </oleObject>
      </mc:Choice>
      <mc:Fallback>
        <oleObject progId="AutoCAD.Drawing.24" shapeId="23557" r:id="rId12"/>
      </mc:Fallback>
    </mc:AlternateContent>
    <mc:AlternateContent xmlns:mc="http://schemas.openxmlformats.org/markup-compatibility/2006">
      <mc:Choice Requires="x14">
        <oleObject progId="AutoCAD.Drawing.24" shapeId="23558" r:id="rId14">
          <objectPr defaultSize="0" autoPict="0" r:id="rId15">
            <anchor moveWithCells="1" sizeWithCells="1">
              <from>
                <xdr:col>1</xdr:col>
                <xdr:colOff>704850</xdr:colOff>
                <xdr:row>42</xdr:row>
                <xdr:rowOff>38100</xdr:rowOff>
              </from>
              <to>
                <xdr:col>1</xdr:col>
                <xdr:colOff>1104900</xdr:colOff>
                <xdr:row>42</xdr:row>
                <xdr:rowOff>504825</xdr:rowOff>
              </to>
            </anchor>
          </objectPr>
        </oleObject>
      </mc:Choice>
      <mc:Fallback>
        <oleObject progId="AutoCAD.Drawing.24" shapeId="23558" r:id="rId14"/>
      </mc:Fallback>
    </mc:AlternateContent>
    <mc:AlternateContent xmlns:mc="http://schemas.openxmlformats.org/markup-compatibility/2006">
      <mc:Choice Requires="x14">
        <oleObject progId="AutoCAD.Drawing.24" shapeId="23559" r:id="rId16">
          <objectPr defaultSize="0" autoPict="0" r:id="rId17">
            <anchor moveWithCells="1" sizeWithCells="1">
              <from>
                <xdr:col>1</xdr:col>
                <xdr:colOff>704850</xdr:colOff>
                <xdr:row>52</xdr:row>
                <xdr:rowOff>180975</xdr:rowOff>
              </from>
              <to>
                <xdr:col>1</xdr:col>
                <xdr:colOff>1066800</xdr:colOff>
                <xdr:row>54</xdr:row>
                <xdr:rowOff>57150</xdr:rowOff>
              </to>
            </anchor>
          </objectPr>
        </oleObject>
      </mc:Choice>
      <mc:Fallback>
        <oleObject progId="AutoCAD.Drawing.24" shapeId="23559" r:id="rId16"/>
      </mc:Fallback>
    </mc:AlternateContent>
    <mc:AlternateContent xmlns:mc="http://schemas.openxmlformats.org/markup-compatibility/2006">
      <mc:Choice Requires="x14">
        <oleObject progId="AutoCAD.Drawing.24" shapeId="23560" r:id="rId18">
          <objectPr defaultSize="0" autoPict="0" r:id="rId19">
            <anchor moveWithCells="1" sizeWithCells="1">
              <from>
                <xdr:col>1</xdr:col>
                <xdr:colOff>647700</xdr:colOff>
                <xdr:row>54</xdr:row>
                <xdr:rowOff>66675</xdr:rowOff>
              </from>
              <to>
                <xdr:col>1</xdr:col>
                <xdr:colOff>1038225</xdr:colOff>
                <xdr:row>54</xdr:row>
                <xdr:rowOff>485775</xdr:rowOff>
              </to>
            </anchor>
          </objectPr>
        </oleObject>
      </mc:Choice>
      <mc:Fallback>
        <oleObject progId="AutoCAD.Drawing.24" shapeId="23560" r:id="rId18"/>
      </mc:Fallback>
    </mc:AlternateContent>
    <mc:AlternateContent xmlns:mc="http://schemas.openxmlformats.org/markup-compatibility/2006">
      <mc:Choice Requires="x14">
        <oleObject progId="AutoCAD.Drawing.24" shapeId="23561" r:id="rId20">
          <objectPr defaultSize="0" autoPict="0" r:id="rId7">
            <anchor moveWithCells="1" sizeWithCells="1">
              <from>
                <xdr:col>1</xdr:col>
                <xdr:colOff>609600</xdr:colOff>
                <xdr:row>57</xdr:row>
                <xdr:rowOff>95250</xdr:rowOff>
              </from>
              <to>
                <xdr:col>1</xdr:col>
                <xdr:colOff>1143000</xdr:colOff>
                <xdr:row>57</xdr:row>
                <xdr:rowOff>438150</xdr:rowOff>
              </to>
            </anchor>
          </objectPr>
        </oleObject>
      </mc:Choice>
      <mc:Fallback>
        <oleObject progId="AutoCAD.Drawing.24" shapeId="23561" r:id="rId20"/>
      </mc:Fallback>
    </mc:AlternateContent>
    <mc:AlternateContent xmlns:mc="http://schemas.openxmlformats.org/markup-compatibility/2006">
      <mc:Choice Requires="x14">
        <oleObject progId="AutoCAD.Drawing.24" shapeId="23562" r:id="rId21">
          <objectPr defaultSize="0" autoPict="0" r:id="rId9">
            <anchor moveWithCells="1" sizeWithCells="1">
              <from>
                <xdr:col>1</xdr:col>
                <xdr:colOff>628650</xdr:colOff>
                <xdr:row>58</xdr:row>
                <xdr:rowOff>57150</xdr:rowOff>
              </from>
              <to>
                <xdr:col>1</xdr:col>
                <xdr:colOff>1123950</xdr:colOff>
                <xdr:row>58</xdr:row>
                <xdr:rowOff>438150</xdr:rowOff>
              </to>
            </anchor>
          </objectPr>
        </oleObject>
      </mc:Choice>
      <mc:Fallback>
        <oleObject progId="AutoCAD.Drawing.24" shapeId="23562" r:id="rId21"/>
      </mc:Fallback>
    </mc:AlternateContent>
    <mc:AlternateContent xmlns:mc="http://schemas.openxmlformats.org/markup-compatibility/2006">
      <mc:Choice Requires="x14">
        <oleObject progId="AutoCAD.Drawing.24" shapeId="23563" r:id="rId22">
          <objectPr defaultSize="0" autoPict="0" r:id="rId11">
            <anchor moveWithCells="1" sizeWithCells="1">
              <from>
                <xdr:col>1</xdr:col>
                <xdr:colOff>628650</xdr:colOff>
                <xdr:row>60</xdr:row>
                <xdr:rowOff>28575</xdr:rowOff>
              </from>
              <to>
                <xdr:col>1</xdr:col>
                <xdr:colOff>1047750</xdr:colOff>
                <xdr:row>60</xdr:row>
                <xdr:rowOff>476250</xdr:rowOff>
              </to>
            </anchor>
          </objectPr>
        </oleObject>
      </mc:Choice>
      <mc:Fallback>
        <oleObject progId="AutoCAD.Drawing.24" shapeId="23563" r:id="rId22"/>
      </mc:Fallback>
    </mc:AlternateContent>
    <mc:AlternateContent xmlns:mc="http://schemas.openxmlformats.org/markup-compatibility/2006">
      <mc:Choice Requires="x14">
        <oleObject progId="AutoCAD.Drawing.24" shapeId="23564" r:id="rId23">
          <objectPr defaultSize="0" autoPict="0" r:id="rId17">
            <anchor moveWithCells="1" sizeWithCells="1">
              <from>
                <xdr:col>1</xdr:col>
                <xdr:colOff>704850</xdr:colOff>
                <xdr:row>69</xdr:row>
                <xdr:rowOff>180975</xdr:rowOff>
              </from>
              <to>
                <xdr:col>1</xdr:col>
                <xdr:colOff>1066800</xdr:colOff>
                <xdr:row>71</xdr:row>
                <xdr:rowOff>57150</xdr:rowOff>
              </to>
            </anchor>
          </objectPr>
        </oleObject>
      </mc:Choice>
      <mc:Fallback>
        <oleObject progId="AutoCAD.Drawing.24" shapeId="23564" r:id="rId23"/>
      </mc:Fallback>
    </mc:AlternateContent>
    <mc:AlternateContent xmlns:mc="http://schemas.openxmlformats.org/markup-compatibility/2006">
      <mc:Choice Requires="x14">
        <oleObject progId="AutoCAD.Drawing.24" shapeId="23565" r:id="rId24">
          <objectPr defaultSize="0" autoPict="0" r:id="rId25">
            <anchor moveWithCells="1" sizeWithCells="1">
              <from>
                <xdr:col>1</xdr:col>
                <xdr:colOff>628650</xdr:colOff>
                <xdr:row>71</xdr:row>
                <xdr:rowOff>47625</xdr:rowOff>
              </from>
              <to>
                <xdr:col>1</xdr:col>
                <xdr:colOff>1047750</xdr:colOff>
                <xdr:row>71</xdr:row>
                <xdr:rowOff>476250</xdr:rowOff>
              </to>
            </anchor>
          </objectPr>
        </oleObject>
      </mc:Choice>
      <mc:Fallback>
        <oleObject progId="AutoCAD.Drawing.24" shapeId="23565" r:id="rId24"/>
      </mc:Fallback>
    </mc:AlternateContent>
    <mc:AlternateContent xmlns:mc="http://schemas.openxmlformats.org/markup-compatibility/2006">
      <mc:Choice Requires="x14">
        <oleObject progId="AutoCAD.Drawing.24" shapeId="23566" r:id="rId26">
          <objectPr defaultSize="0" autoPict="0" r:id="rId27">
            <anchor moveWithCells="1" sizeWithCells="1">
              <from>
                <xdr:col>1</xdr:col>
                <xdr:colOff>438150</xdr:colOff>
                <xdr:row>72</xdr:row>
                <xdr:rowOff>0</xdr:rowOff>
              </from>
              <to>
                <xdr:col>1</xdr:col>
                <xdr:colOff>1200150</xdr:colOff>
                <xdr:row>72</xdr:row>
                <xdr:rowOff>466725</xdr:rowOff>
              </to>
            </anchor>
          </objectPr>
        </oleObject>
      </mc:Choice>
      <mc:Fallback>
        <oleObject progId="AutoCAD.Drawing.24" shapeId="23566" r:id="rId26"/>
      </mc:Fallback>
    </mc:AlternateContent>
    <mc:AlternateContent xmlns:mc="http://schemas.openxmlformats.org/markup-compatibility/2006">
      <mc:Choice Requires="x14">
        <oleObject progId="AutoCAD.Drawing.24" shapeId="23567" r:id="rId28">
          <objectPr defaultSize="0" autoPict="0" r:id="rId29">
            <anchor moveWithCells="1" sizeWithCells="1">
              <from>
                <xdr:col>1</xdr:col>
                <xdr:colOff>161925</xdr:colOff>
                <xdr:row>82</xdr:row>
                <xdr:rowOff>114300</xdr:rowOff>
              </from>
              <to>
                <xdr:col>1</xdr:col>
                <xdr:colOff>1390650</xdr:colOff>
                <xdr:row>82</xdr:row>
                <xdr:rowOff>438150</xdr:rowOff>
              </to>
            </anchor>
          </objectPr>
        </oleObject>
      </mc:Choice>
      <mc:Fallback>
        <oleObject progId="AutoCAD.Drawing.24" shapeId="23567" r:id="rId28"/>
      </mc:Fallback>
    </mc:AlternateContent>
    <mc:AlternateContent xmlns:mc="http://schemas.openxmlformats.org/markup-compatibility/2006">
      <mc:Choice Requires="x14">
        <oleObject progId="AutoCAD.Drawing.24" shapeId="23568" r:id="rId30">
          <objectPr defaultSize="0" autoPict="0" r:id="rId31">
            <anchor moveWithCells="1" sizeWithCells="1">
              <from>
                <xdr:col>1</xdr:col>
                <xdr:colOff>314325</xdr:colOff>
                <xdr:row>83</xdr:row>
                <xdr:rowOff>28575</xdr:rowOff>
              </from>
              <to>
                <xdr:col>1</xdr:col>
                <xdr:colOff>1314450</xdr:colOff>
                <xdr:row>83</xdr:row>
                <xdr:rowOff>447675</xdr:rowOff>
              </to>
            </anchor>
          </objectPr>
        </oleObject>
      </mc:Choice>
      <mc:Fallback>
        <oleObject progId="AutoCAD.Drawing.24" shapeId="23568" r:id="rId30"/>
      </mc:Fallback>
    </mc:AlternateContent>
    <mc:AlternateContent xmlns:mc="http://schemas.openxmlformats.org/markup-compatibility/2006">
      <mc:Choice Requires="x14">
        <oleObject progId="AutoCAD.Drawing.24" shapeId="23569" r:id="rId32">
          <objectPr defaultSize="0" autoPict="0" r:id="rId33">
            <anchor moveWithCells="1" sizeWithCells="1">
              <from>
                <xdr:col>1</xdr:col>
                <xdr:colOff>438150</xdr:colOff>
                <xdr:row>84</xdr:row>
                <xdr:rowOff>38100</xdr:rowOff>
              </from>
              <to>
                <xdr:col>1</xdr:col>
                <xdr:colOff>1181100</xdr:colOff>
                <xdr:row>85</xdr:row>
                <xdr:rowOff>0</xdr:rowOff>
              </to>
            </anchor>
          </objectPr>
        </oleObject>
      </mc:Choice>
      <mc:Fallback>
        <oleObject progId="AutoCAD.Drawing.24" shapeId="23569" r:id="rId32"/>
      </mc:Fallback>
    </mc:AlternateContent>
    <mc:AlternateContent xmlns:mc="http://schemas.openxmlformats.org/markup-compatibility/2006">
      <mc:Choice Requires="x14">
        <oleObject progId="AutoCAD.Drawing.24" shapeId="23570" r:id="rId34">
          <objectPr defaultSize="0" autoPict="0" r:id="rId35">
            <anchor moveWithCells="1" sizeWithCells="1">
              <from>
                <xdr:col>1</xdr:col>
                <xdr:colOff>666750</xdr:colOff>
                <xdr:row>85</xdr:row>
                <xdr:rowOff>57150</xdr:rowOff>
              </from>
              <to>
                <xdr:col>1</xdr:col>
                <xdr:colOff>971550</xdr:colOff>
                <xdr:row>85</xdr:row>
                <xdr:rowOff>485775</xdr:rowOff>
              </to>
            </anchor>
          </objectPr>
        </oleObject>
      </mc:Choice>
      <mc:Fallback>
        <oleObject progId="AutoCAD.Drawing.24" shapeId="23570" r:id="rId34"/>
      </mc:Fallback>
    </mc:AlternateContent>
    <mc:AlternateContent xmlns:mc="http://schemas.openxmlformats.org/markup-compatibility/2006">
      <mc:Choice Requires="x14">
        <oleObject progId="AutoCAD.Drawing.24" shapeId="23571" r:id="rId36">
          <objectPr defaultSize="0" autoPict="0" r:id="rId37">
            <anchor moveWithCells="1" sizeWithCells="1">
              <from>
                <xdr:col>1</xdr:col>
                <xdr:colOff>447675</xdr:colOff>
                <xdr:row>86</xdr:row>
                <xdr:rowOff>57150</xdr:rowOff>
              </from>
              <to>
                <xdr:col>1</xdr:col>
                <xdr:colOff>1123950</xdr:colOff>
                <xdr:row>87</xdr:row>
                <xdr:rowOff>0</xdr:rowOff>
              </to>
            </anchor>
          </objectPr>
        </oleObject>
      </mc:Choice>
      <mc:Fallback>
        <oleObject progId="AutoCAD.Drawing.24" shapeId="23571" r:id="rId36"/>
      </mc:Fallback>
    </mc:AlternateContent>
    <mc:AlternateContent xmlns:mc="http://schemas.openxmlformats.org/markup-compatibility/2006">
      <mc:Choice Requires="x14">
        <oleObject progId="AutoCAD.Drawing.24" shapeId="23572" r:id="rId38">
          <objectPr defaultSize="0" autoPict="0" r:id="rId11">
            <anchor moveWithCells="1" sizeWithCells="1">
              <from>
                <xdr:col>1</xdr:col>
                <xdr:colOff>590550</xdr:colOff>
                <xdr:row>87</xdr:row>
                <xdr:rowOff>38100</xdr:rowOff>
              </from>
              <to>
                <xdr:col>1</xdr:col>
                <xdr:colOff>990600</xdr:colOff>
                <xdr:row>87</xdr:row>
                <xdr:rowOff>485775</xdr:rowOff>
              </to>
            </anchor>
          </objectPr>
        </oleObject>
      </mc:Choice>
      <mc:Fallback>
        <oleObject progId="AutoCAD.Drawing.24" shapeId="23572" r:id="rId38"/>
      </mc:Fallback>
    </mc:AlternateContent>
    <mc:AlternateContent xmlns:mc="http://schemas.openxmlformats.org/markup-compatibility/2006">
      <mc:Choice Requires="x14">
        <oleObject progId="AutoCAD.Drawing.24" shapeId="23573" r:id="rId39">
          <objectPr defaultSize="0" autoPict="0" r:id="rId40">
            <anchor moveWithCells="1" sizeWithCells="1">
              <from>
                <xdr:col>1</xdr:col>
                <xdr:colOff>323850</xdr:colOff>
                <xdr:row>89</xdr:row>
                <xdr:rowOff>28575</xdr:rowOff>
              </from>
              <to>
                <xdr:col>1</xdr:col>
                <xdr:colOff>1409700</xdr:colOff>
                <xdr:row>89</xdr:row>
                <xdr:rowOff>457200</xdr:rowOff>
              </to>
            </anchor>
          </objectPr>
        </oleObject>
      </mc:Choice>
      <mc:Fallback>
        <oleObject progId="AutoCAD.Drawing.24" shapeId="23573" r:id="rId39"/>
      </mc:Fallback>
    </mc:AlternateContent>
    <mc:AlternateContent xmlns:mc="http://schemas.openxmlformats.org/markup-compatibility/2006">
      <mc:Choice Requires="x14">
        <oleObject progId="AutoCAD.Drawing.24" shapeId="23574" r:id="rId41">
          <objectPr defaultSize="0" autoPict="0" r:id="rId42">
            <anchor moveWithCells="1" sizeWithCells="1">
              <from>
                <xdr:col>1</xdr:col>
                <xdr:colOff>657225</xdr:colOff>
                <xdr:row>97</xdr:row>
                <xdr:rowOff>47625</xdr:rowOff>
              </from>
              <to>
                <xdr:col>1</xdr:col>
                <xdr:colOff>1019175</xdr:colOff>
                <xdr:row>97</xdr:row>
                <xdr:rowOff>447675</xdr:rowOff>
              </to>
            </anchor>
          </objectPr>
        </oleObject>
      </mc:Choice>
      <mc:Fallback>
        <oleObject progId="AutoCAD.Drawing.24" shapeId="23574" r:id="rId41"/>
      </mc:Fallback>
    </mc:AlternateContent>
    <mc:AlternateContent xmlns:mc="http://schemas.openxmlformats.org/markup-compatibility/2006">
      <mc:Choice Requires="x14">
        <oleObject progId="AutoCAD.Drawing.24" shapeId="23575" r:id="rId43">
          <objectPr defaultSize="0" autoPict="0" r:id="rId44">
            <anchor moveWithCells="1" sizeWithCells="1">
              <from>
                <xdr:col>1</xdr:col>
                <xdr:colOff>666750</xdr:colOff>
                <xdr:row>96</xdr:row>
                <xdr:rowOff>57150</xdr:rowOff>
              </from>
              <to>
                <xdr:col>1</xdr:col>
                <xdr:colOff>1066800</xdr:colOff>
                <xdr:row>96</xdr:row>
                <xdr:rowOff>457200</xdr:rowOff>
              </to>
            </anchor>
          </objectPr>
        </oleObject>
      </mc:Choice>
      <mc:Fallback>
        <oleObject progId="AutoCAD.Drawing.24" shapeId="23575" r:id="rId43"/>
      </mc:Fallback>
    </mc:AlternateContent>
    <mc:AlternateContent xmlns:mc="http://schemas.openxmlformats.org/markup-compatibility/2006">
      <mc:Choice Requires="x14">
        <oleObject progId="AutoCAD.Drawing.24" shapeId="23576" r:id="rId45">
          <objectPr defaultSize="0" autoPict="0" r:id="rId46">
            <anchor moveWithCells="1" sizeWithCells="1">
              <from>
                <xdr:col>1</xdr:col>
                <xdr:colOff>323850</xdr:colOff>
                <xdr:row>98</xdr:row>
                <xdr:rowOff>190500</xdr:rowOff>
              </from>
              <to>
                <xdr:col>1</xdr:col>
                <xdr:colOff>1362075</xdr:colOff>
                <xdr:row>98</xdr:row>
                <xdr:rowOff>361950</xdr:rowOff>
              </to>
            </anchor>
          </objectPr>
        </oleObject>
      </mc:Choice>
      <mc:Fallback>
        <oleObject progId="AutoCAD.Drawing.24" shapeId="23576" r:id="rId45"/>
      </mc:Fallback>
    </mc:AlternateContent>
    <mc:AlternateContent xmlns:mc="http://schemas.openxmlformats.org/markup-compatibility/2006">
      <mc:Choice Requires="x14">
        <oleObject progId="AutoCAD.Drawing.24" shapeId="23577" r:id="rId47">
          <objectPr defaultSize="0" autoPict="0" r:id="rId48">
            <anchor moveWithCells="1" sizeWithCells="1">
              <from>
                <xdr:col>1</xdr:col>
                <xdr:colOff>704850</xdr:colOff>
                <xdr:row>100</xdr:row>
                <xdr:rowOff>19050</xdr:rowOff>
              </from>
              <to>
                <xdr:col>1</xdr:col>
                <xdr:colOff>1047750</xdr:colOff>
                <xdr:row>100</xdr:row>
                <xdr:rowOff>476250</xdr:rowOff>
              </to>
            </anchor>
          </objectPr>
        </oleObject>
      </mc:Choice>
      <mc:Fallback>
        <oleObject progId="AutoCAD.Drawing.24" shapeId="23577" r:id="rId47"/>
      </mc:Fallback>
    </mc:AlternateContent>
    <mc:AlternateContent xmlns:mc="http://schemas.openxmlformats.org/markup-compatibility/2006">
      <mc:Choice Requires="x14">
        <oleObject progId="AutoCAD.Drawing.24" shapeId="23578" r:id="rId49">
          <objectPr defaultSize="0" autoPict="0" r:id="rId50">
            <anchor moveWithCells="1" sizeWithCells="1">
              <from>
                <xdr:col>1</xdr:col>
                <xdr:colOff>657225</xdr:colOff>
                <xdr:row>102</xdr:row>
                <xdr:rowOff>0</xdr:rowOff>
              </from>
              <to>
                <xdr:col>1</xdr:col>
                <xdr:colOff>1095375</xdr:colOff>
                <xdr:row>102</xdr:row>
                <xdr:rowOff>514350</xdr:rowOff>
              </to>
            </anchor>
          </objectPr>
        </oleObject>
      </mc:Choice>
      <mc:Fallback>
        <oleObject progId="AutoCAD.Drawing.24" shapeId="23578" r:id="rId49"/>
      </mc:Fallback>
    </mc:AlternateContent>
    <mc:AlternateContent xmlns:mc="http://schemas.openxmlformats.org/markup-compatibility/2006">
      <mc:Choice Requires="x14">
        <oleObject progId="AutoCAD.Drawing.24" shapeId="23579" r:id="rId51">
          <objectPr defaultSize="0" autoPict="0" r:id="rId52">
            <anchor moveWithCells="1" sizeWithCells="1">
              <from>
                <xdr:col>1</xdr:col>
                <xdr:colOff>476250</xdr:colOff>
                <xdr:row>101</xdr:row>
                <xdr:rowOff>9525</xdr:rowOff>
              </from>
              <to>
                <xdr:col>1</xdr:col>
                <xdr:colOff>1247775</xdr:colOff>
                <xdr:row>101</xdr:row>
                <xdr:rowOff>495300</xdr:rowOff>
              </to>
            </anchor>
          </objectPr>
        </oleObject>
      </mc:Choice>
      <mc:Fallback>
        <oleObject progId="AutoCAD.Drawing.24" shapeId="23579" r:id="rId51"/>
      </mc:Fallback>
    </mc:AlternateContent>
    <mc:AlternateContent xmlns:mc="http://schemas.openxmlformats.org/markup-compatibility/2006">
      <mc:Choice Requires="x14">
        <oleObject progId="AutoCAD.Drawing.24" shapeId="23580" r:id="rId53">
          <objectPr defaultSize="0" autoPict="0" r:id="rId54">
            <anchor moveWithCells="1" sizeWithCells="1">
              <from>
                <xdr:col>1</xdr:col>
                <xdr:colOff>409575</xdr:colOff>
                <xdr:row>99</xdr:row>
                <xdr:rowOff>19050</xdr:rowOff>
              </from>
              <to>
                <xdr:col>1</xdr:col>
                <xdr:colOff>1162050</xdr:colOff>
                <xdr:row>99</xdr:row>
                <xdr:rowOff>485775</xdr:rowOff>
              </to>
            </anchor>
          </objectPr>
        </oleObject>
      </mc:Choice>
      <mc:Fallback>
        <oleObject progId="AutoCAD.Drawing.24" shapeId="23580" r:id="rId53"/>
      </mc:Fallback>
    </mc:AlternateContent>
    <mc:AlternateContent xmlns:mc="http://schemas.openxmlformats.org/markup-compatibility/2006">
      <mc:Choice Requires="x14">
        <oleObject progId="AutoCAD.Drawing.24" shapeId="23581" r:id="rId55">
          <objectPr defaultSize="0" autoPict="0" r:id="rId27">
            <anchor moveWithCells="1" sizeWithCells="1">
              <from>
                <xdr:col>1</xdr:col>
                <xdr:colOff>438150</xdr:colOff>
                <xdr:row>88</xdr:row>
                <xdr:rowOff>0</xdr:rowOff>
              </from>
              <to>
                <xdr:col>1</xdr:col>
                <xdr:colOff>1200150</xdr:colOff>
                <xdr:row>88</xdr:row>
                <xdr:rowOff>466725</xdr:rowOff>
              </to>
            </anchor>
          </objectPr>
        </oleObject>
      </mc:Choice>
      <mc:Fallback>
        <oleObject progId="AutoCAD.Drawing.24" shapeId="23581" r:id="rId55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3726A0-34F0-43E1-BCAE-C8415CDB23BC}">
  <dimension ref="A1:AC49"/>
  <sheetViews>
    <sheetView rightToLeft="1" zoomScaleNormal="100" zoomScaleSheetLayoutView="100" workbookViewId="0">
      <selection activeCell="D8" sqref="D8"/>
    </sheetView>
  </sheetViews>
  <sheetFormatPr defaultRowHeight="15" x14ac:dyDescent="0.25"/>
  <cols>
    <col min="1" max="1" width="2.5703125" customWidth="1"/>
    <col min="2" max="2" width="2.7109375" style="24" customWidth="1"/>
    <col min="3" max="3" width="16.140625" style="24" customWidth="1"/>
    <col min="4" max="4" width="28.5703125" style="35" customWidth="1"/>
    <col min="5" max="5" width="29.140625" style="36" customWidth="1"/>
    <col min="6" max="6" width="21.5703125" style="24" customWidth="1"/>
    <col min="7" max="7" width="2.7109375" style="36" customWidth="1"/>
    <col min="8" max="8" width="4.28515625" customWidth="1"/>
    <col min="11" max="11" width="14.28515625" customWidth="1"/>
  </cols>
  <sheetData>
    <row r="1" spans="1:29" ht="22.5" customHeight="1" x14ac:dyDescent="0.25">
      <c r="A1" s="25"/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1"/>
      <c r="AC1" s="11"/>
    </row>
    <row r="2" spans="1:29" ht="19.899999999999999" customHeight="1" x14ac:dyDescent="0.25">
      <c r="A2" s="25"/>
      <c r="B2" s="12"/>
      <c r="C2" s="12"/>
      <c r="D2" s="13"/>
      <c r="E2" s="14"/>
      <c r="F2" s="12"/>
      <c r="G2" s="15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</row>
    <row r="3" spans="1:29" ht="25.15" customHeight="1" x14ac:dyDescent="0.25">
      <c r="A3" s="25"/>
      <c r="B3" s="16"/>
      <c r="C3" s="118" t="s">
        <v>82</v>
      </c>
      <c r="D3" s="110">
        <f>(Invoice!C15)/100</f>
        <v>0</v>
      </c>
      <c r="E3" s="189" t="str">
        <f>IF(AND(D3&lt;=6,D4&gt;8),"NOT IN RANGE",IF(AND(D3&gt;6,D4&lt;=8),"NOT IN RANGE","CORRECT RANGE"))</f>
        <v>CORRECT RANGE</v>
      </c>
      <c r="F3" s="189"/>
      <c r="G3" s="15"/>
      <c r="H3" s="11"/>
      <c r="I3" s="41">
        <f>K3</f>
        <v>1.1216953130392766E-2</v>
      </c>
      <c r="J3" s="25" t="s">
        <v>78</v>
      </c>
      <c r="K3" s="41">
        <f>IF(AND($D$6="ROOF LEVEL"),'D4'!F2,IF(AND($D$6="SAYANEH"),'D4'!F6,IF(AND($D$6="PAVLION"),'D4'!F10,0)))</f>
        <v>1.1216953130392766E-2</v>
      </c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</row>
    <row r="4" spans="1:29" ht="25.15" customHeight="1" x14ac:dyDescent="0.25">
      <c r="A4" s="25"/>
      <c r="B4" s="16"/>
      <c r="C4" s="118" t="s">
        <v>16</v>
      </c>
      <c r="D4" s="110">
        <f>(Invoice!D15)/100</f>
        <v>0</v>
      </c>
      <c r="E4" s="189"/>
      <c r="F4" s="189"/>
      <c r="G4" s="15"/>
      <c r="H4" s="11"/>
      <c r="I4" s="41">
        <f t="shared" ref="I4:I6" si="0">K4</f>
        <v>0.67301718782356601</v>
      </c>
      <c r="J4" s="25" t="s">
        <v>79</v>
      </c>
      <c r="K4" s="41">
        <f>IF(AND($D$6="ROOF LEVEL"),'D4'!F3,IF(AND($D$6="SAYANEH"),'D4'!F7,IF(AND($D$6="PAVLION"),'D4'!F11,0)))</f>
        <v>0.67301718782356601</v>
      </c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</row>
    <row r="5" spans="1:29" ht="25.15" customHeight="1" x14ac:dyDescent="0.25">
      <c r="A5" s="25"/>
      <c r="B5" s="16"/>
      <c r="C5" s="118" t="s">
        <v>24</v>
      </c>
      <c r="D5" s="111">
        <f>Invoice!E15</f>
        <v>0</v>
      </c>
      <c r="E5" s="189"/>
      <c r="F5" s="189"/>
      <c r="G5" s="15"/>
      <c r="H5" s="11"/>
      <c r="I5" s="41">
        <f t="shared" si="0"/>
        <v>3.8090184303168358E-2</v>
      </c>
      <c r="J5" s="25" t="s">
        <v>80</v>
      </c>
      <c r="K5" s="41">
        <f>IF(AND($D$6="ROOF LEVEL"),'D4'!F4,IF(AND($D$6="SAYANEH"),'D4'!F8,IF(AND($D$6="PAVLION"),'D4'!F12,0)))</f>
        <v>3.8090184303168358E-2</v>
      </c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</row>
    <row r="6" spans="1:29" ht="25.15" customHeight="1" x14ac:dyDescent="0.25">
      <c r="A6" s="25"/>
      <c r="B6" s="16"/>
      <c r="C6" s="118" t="s">
        <v>215</v>
      </c>
      <c r="D6" s="112" t="str">
        <f>Invoice!F15</f>
        <v>Roof Level</v>
      </c>
      <c r="E6" s="189"/>
      <c r="F6" s="189"/>
      <c r="G6" s="15"/>
      <c r="H6" s="11"/>
      <c r="I6" s="41">
        <f t="shared" si="0"/>
        <v>0.27767567474287291</v>
      </c>
      <c r="J6" s="25" t="s">
        <v>81</v>
      </c>
      <c r="K6" s="41">
        <f>IF(AND($D$6="ROOF LEVEL"),'D4'!F5,IF(AND($D$6="SAYANEH"),'D4'!F9,IF(AND($D$6="PAVLION"),'D4'!F13,0)))</f>
        <v>0.27767567474287291</v>
      </c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</row>
    <row r="7" spans="1:29" ht="25.15" customHeight="1" x14ac:dyDescent="0.25">
      <c r="A7" s="25"/>
      <c r="B7" s="16"/>
      <c r="C7" s="118" t="s">
        <v>213</v>
      </c>
      <c r="D7" s="160" t="str">
        <f>Invoice!G15</f>
        <v>متحرک</v>
      </c>
      <c r="E7" s="117" t="s">
        <v>83</v>
      </c>
      <c r="F7" s="114">
        <f>D3*D4*D5</f>
        <v>0</v>
      </c>
      <c r="G7" s="15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</row>
    <row r="8" spans="1:29" ht="25.15" customHeight="1" x14ac:dyDescent="0.25">
      <c r="A8" s="25"/>
      <c r="B8" s="16"/>
      <c r="C8" s="118" t="s">
        <v>19</v>
      </c>
      <c r="D8" s="113" t="str">
        <f>Invoice!G18</f>
        <v xml:space="preserve">120Nm بکر آلمان </v>
      </c>
      <c r="E8" s="117" t="s">
        <v>20</v>
      </c>
      <c r="F8" s="115" t="e">
        <f>FLOOR(F9/F7,100000)</f>
        <v>#DIV/0!</v>
      </c>
      <c r="G8" s="15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</row>
    <row r="9" spans="1:29" ht="25.15" customHeight="1" x14ac:dyDescent="0.25">
      <c r="A9" s="25"/>
      <c r="B9" s="12"/>
      <c r="C9" s="118" t="s">
        <v>84</v>
      </c>
      <c r="D9" s="113" t="str">
        <f>Invoice!H12</f>
        <v>روشنایی لبه آبراه(خطی LED)</v>
      </c>
      <c r="E9" s="117" t="s">
        <v>22</v>
      </c>
      <c r="F9" s="115">
        <f>IF(AND(D6="ROOF LEVEL",D7="متحرک"),('D4'!J15),IF(AND(D6="SAYANEH",D7="متحرک"),('D4'!J16),IF(AND(D6="PAVLION",D7="متحرک"),('D4'!J17),IF(AND(D6="ROOF LEVEL",D7="ثابت"),('D4'!J19),IF(AND(D6="SAYANEH",D7="ثابت"),('D4'!J20),IF(AND(D6="PAVLION",D7="ثابت"),('D4'!J21),0))))))</f>
        <v>0</v>
      </c>
      <c r="G9" s="15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</row>
    <row r="10" spans="1:29" ht="16.149999999999999" hidden="1" customHeight="1" x14ac:dyDescent="0.25">
      <c r="A10" s="25"/>
      <c r="B10" s="16"/>
      <c r="C10" s="107" t="s">
        <v>21</v>
      </c>
      <c r="D10" s="108">
        <f>Invoice!C18</f>
        <v>700000</v>
      </c>
      <c r="E10" s="119" t="s">
        <v>33</v>
      </c>
      <c r="F10" s="116" t="str">
        <f>IF(AND(D4&gt;2,D4&lt;=3),0,IF(AND(D4&gt;3,D4&lt;=8),1,"0"))</f>
        <v>0</v>
      </c>
      <c r="G10" s="15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</row>
    <row r="11" spans="1:29" ht="16.149999999999999" hidden="1" customHeight="1" thickBot="1" x14ac:dyDescent="0.3">
      <c r="A11" s="25"/>
      <c r="B11" s="16"/>
      <c r="C11" s="45" t="s">
        <v>34</v>
      </c>
      <c r="D11" s="43">
        <f>Invoice!C17</f>
        <v>2200000</v>
      </c>
      <c r="E11" s="17" t="s">
        <v>15</v>
      </c>
      <c r="F11" s="109">
        <v>35</v>
      </c>
      <c r="G11" s="15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</row>
    <row r="12" spans="1:29" ht="16.149999999999999" hidden="1" customHeight="1" thickBot="1" x14ac:dyDescent="0.3">
      <c r="A12" s="25"/>
      <c r="B12" s="16"/>
      <c r="C12" s="44" t="s">
        <v>37</v>
      </c>
      <c r="D12" s="43">
        <f>Invoice!C19</f>
        <v>450000</v>
      </c>
      <c r="E12" s="19" t="s">
        <v>17</v>
      </c>
      <c r="F12" s="18">
        <v>50</v>
      </c>
      <c r="G12" s="15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</row>
    <row r="13" spans="1:29" ht="19.899999999999999" customHeight="1" x14ac:dyDescent="0.25">
      <c r="A13" s="25"/>
      <c r="B13" s="16"/>
      <c r="C13" s="16"/>
      <c r="D13" s="16"/>
      <c r="E13" s="16"/>
      <c r="F13" s="16"/>
      <c r="G13" s="16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</row>
    <row r="14" spans="1:29" x14ac:dyDescent="0.25">
      <c r="A14" s="25"/>
      <c r="B14" s="25"/>
      <c r="C14" s="26"/>
      <c r="D14" s="27"/>
      <c r="E14" s="28"/>
      <c r="F14" s="11"/>
      <c r="G14" s="29"/>
      <c r="H14" s="190">
        <f>FLOOR((IF(AND($D$6="ROOF LEVEL"),'D4'!D2,IF(AND($D$6="SAYANEH"),'D4'!D6,IF(AND($D$6="PAVLION"),'D4'!D10,0)))),1000000)/10000000</f>
        <v>0.6</v>
      </c>
      <c r="I14" s="190"/>
      <c r="J14" s="190"/>
      <c r="K14" s="190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</row>
    <row r="15" spans="1:29" x14ac:dyDescent="0.25">
      <c r="A15" s="25"/>
      <c r="B15" s="25"/>
      <c r="C15" s="26"/>
      <c r="D15" s="27"/>
      <c r="E15" s="27"/>
      <c r="F15" s="27"/>
      <c r="G15" s="27"/>
      <c r="H15" s="27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</row>
    <row r="16" spans="1:29" x14ac:dyDescent="0.25">
      <c r="A16" s="25"/>
      <c r="B16" s="25"/>
      <c r="C16" s="25"/>
      <c r="D16" s="25"/>
      <c r="E16" s="25"/>
      <c r="F16" s="25"/>
      <c r="G16" s="25"/>
      <c r="H16" s="25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</row>
    <row r="17" spans="1:29" x14ac:dyDescent="0.25">
      <c r="A17" s="25"/>
      <c r="B17" s="25"/>
      <c r="C17" s="25"/>
      <c r="D17" s="25"/>
      <c r="E17" s="25"/>
      <c r="F17" s="25"/>
      <c r="G17" s="25"/>
      <c r="H17" s="25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</row>
    <row r="18" spans="1:29" x14ac:dyDescent="0.25">
      <c r="A18" s="25"/>
      <c r="B18" s="30"/>
      <c r="C18" s="30"/>
      <c r="D18" s="30"/>
      <c r="E18" s="11"/>
      <c r="F18" s="11"/>
      <c r="G18" s="28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</row>
    <row r="19" spans="1:29" x14ac:dyDescent="0.25">
      <c r="A19" s="25"/>
      <c r="B19" s="30"/>
      <c r="C19" s="30"/>
      <c r="D19" s="30"/>
      <c r="E19" s="11"/>
      <c r="F19" s="11"/>
      <c r="G19" s="28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</row>
    <row r="20" spans="1:29" x14ac:dyDescent="0.25">
      <c r="A20" s="25"/>
      <c r="B20" s="11"/>
      <c r="C20" s="11"/>
      <c r="D20" s="31"/>
      <c r="E20" s="11"/>
      <c r="F20" s="32"/>
      <c r="G20" s="32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</row>
    <row r="21" spans="1:29" x14ac:dyDescent="0.25">
      <c r="A21" s="25"/>
      <c r="B21" s="11"/>
      <c r="C21" s="11"/>
      <c r="D21" s="31"/>
      <c r="E21" s="11"/>
      <c r="F21" s="32"/>
      <c r="G21" s="32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</row>
    <row r="22" spans="1:29" x14ac:dyDescent="0.25">
      <c r="A22" s="25"/>
      <c r="B22" s="11"/>
      <c r="C22" s="11"/>
      <c r="D22" s="31"/>
      <c r="E22" s="11"/>
      <c r="F22" s="32"/>
      <c r="G22" s="32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</row>
    <row r="23" spans="1:29" x14ac:dyDescent="0.25">
      <c r="A23" s="25"/>
      <c r="B23" s="11"/>
      <c r="C23" s="11"/>
      <c r="D23" s="31"/>
      <c r="E23" s="11"/>
      <c r="F23" s="32"/>
      <c r="G23" s="33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</row>
    <row r="24" spans="1:29" x14ac:dyDescent="0.25">
      <c r="A24" s="25"/>
      <c r="B24" s="11"/>
      <c r="C24" s="11"/>
      <c r="D24" s="31"/>
      <c r="E24" s="11"/>
      <c r="F24" s="32"/>
      <c r="G24" s="33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</row>
    <row r="25" spans="1:29" x14ac:dyDescent="0.25">
      <c r="A25" s="25"/>
      <c r="B25" s="11"/>
      <c r="C25" s="11"/>
      <c r="D25" s="31"/>
      <c r="E25" s="11"/>
      <c r="F25" s="32"/>
      <c r="G25" s="33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</row>
    <row r="26" spans="1:29" x14ac:dyDescent="0.25">
      <c r="A26" s="25"/>
      <c r="B26" s="11"/>
      <c r="C26" s="11"/>
      <c r="D26" s="31"/>
      <c r="E26" s="11"/>
      <c r="F26" s="32"/>
      <c r="G26" s="33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</row>
    <row r="27" spans="1:29" x14ac:dyDescent="0.25">
      <c r="A27" s="25"/>
      <c r="B27" s="11"/>
      <c r="C27" s="11"/>
      <c r="D27" s="31"/>
      <c r="E27" s="11"/>
      <c r="F27" s="32"/>
      <c r="G27" s="33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</row>
    <row r="28" spans="1:29" x14ac:dyDescent="0.25">
      <c r="A28" s="25"/>
      <c r="B28" s="30"/>
      <c r="C28" s="11"/>
      <c r="D28" s="31"/>
      <c r="E28" s="11"/>
      <c r="F28" s="32"/>
      <c r="G28" s="33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</row>
    <row r="29" spans="1:29" x14ac:dyDescent="0.25">
      <c r="A29" s="25"/>
      <c r="B29" s="11"/>
      <c r="C29" s="11"/>
      <c r="D29" s="31"/>
      <c r="E29" s="11"/>
      <c r="F29" s="32"/>
      <c r="G29" s="33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</row>
    <row r="30" spans="1:29" x14ac:dyDescent="0.25">
      <c r="A30" s="25"/>
      <c r="B30" s="11"/>
      <c r="C30" s="11"/>
      <c r="D30" s="31"/>
      <c r="E30" s="11"/>
      <c r="F30" s="32"/>
      <c r="G30" s="33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</row>
    <row r="31" spans="1:29" x14ac:dyDescent="0.25">
      <c r="A31" s="25"/>
      <c r="B31" s="11"/>
      <c r="C31" s="11"/>
      <c r="D31" s="31"/>
      <c r="E31" s="28"/>
      <c r="F31" s="32"/>
      <c r="G31" s="33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</row>
    <row r="32" spans="1:29" x14ac:dyDescent="0.25">
      <c r="A32" s="25"/>
      <c r="B32" s="11"/>
      <c r="C32" s="11"/>
      <c r="D32" s="31"/>
      <c r="E32" s="28"/>
      <c r="F32" s="32"/>
      <c r="G32" s="33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</row>
    <row r="33" spans="1:29" x14ac:dyDescent="0.25">
      <c r="A33" s="25"/>
      <c r="B33" s="11"/>
      <c r="C33" s="11"/>
      <c r="D33" s="31"/>
      <c r="E33" s="28"/>
      <c r="F33" s="28"/>
      <c r="G33" s="28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</row>
    <row r="34" spans="1:29" x14ac:dyDescent="0.25">
      <c r="A34" s="25"/>
      <c r="B34" s="11"/>
      <c r="C34" s="11"/>
      <c r="D34" s="31"/>
      <c r="E34" s="28"/>
      <c r="F34" s="28"/>
      <c r="G34" s="28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</row>
    <row r="35" spans="1:29" x14ac:dyDescent="0.25">
      <c r="A35" s="25"/>
      <c r="B35" s="11"/>
      <c r="C35" s="11"/>
      <c r="D35" s="31"/>
      <c r="E35" s="28"/>
      <c r="F35" s="28"/>
      <c r="G35" s="28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</row>
    <row r="36" spans="1:29" x14ac:dyDescent="0.25">
      <c r="A36" s="25"/>
      <c r="B36" s="11"/>
      <c r="C36" s="11"/>
      <c r="D36" s="31"/>
      <c r="E36" s="28"/>
      <c r="F36" s="28"/>
      <c r="G36" s="28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</row>
    <row r="37" spans="1:29" x14ac:dyDescent="0.25">
      <c r="A37" s="25"/>
      <c r="B37" s="11"/>
      <c r="C37" s="11"/>
      <c r="D37" s="31"/>
      <c r="E37" s="28"/>
      <c r="F37" s="28"/>
      <c r="G37" s="28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</row>
    <row r="38" spans="1:29" x14ac:dyDescent="0.25">
      <c r="A38" s="25"/>
      <c r="B38" s="11"/>
      <c r="C38" s="11"/>
      <c r="D38" s="31"/>
      <c r="E38" s="28"/>
      <c r="F38" s="28"/>
      <c r="G38" s="28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</row>
    <row r="39" spans="1:29" x14ac:dyDescent="0.25">
      <c r="A39" s="25"/>
      <c r="B39" s="11"/>
      <c r="C39" s="11"/>
      <c r="D39" s="31"/>
      <c r="E39" s="28"/>
      <c r="F39" s="28"/>
      <c r="G39" s="28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</row>
    <row r="40" spans="1:29" x14ac:dyDescent="0.25">
      <c r="A40" s="25"/>
      <c r="B40" s="11"/>
      <c r="C40" s="11"/>
      <c r="D40" s="34"/>
      <c r="E40" s="28"/>
      <c r="F40" s="11"/>
      <c r="G40" s="28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</row>
    <row r="41" spans="1:29" x14ac:dyDescent="0.25">
      <c r="A41" s="25"/>
      <c r="B41" s="11"/>
      <c r="C41" s="11"/>
      <c r="D41" s="34"/>
      <c r="E41" s="28"/>
      <c r="F41" s="11"/>
      <c r="G41" s="28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</row>
    <row r="42" spans="1:29" x14ac:dyDescent="0.25">
      <c r="A42" s="25"/>
      <c r="B42" s="11"/>
      <c r="C42" s="11"/>
      <c r="D42" s="46" t="s">
        <v>88</v>
      </c>
      <c r="E42" s="28"/>
      <c r="F42" s="11"/>
      <c r="G42" s="28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</row>
    <row r="43" spans="1:29" x14ac:dyDescent="0.25">
      <c r="A43" s="25"/>
      <c r="B43" s="11"/>
      <c r="C43" s="42" t="s">
        <v>13</v>
      </c>
      <c r="D43" s="34" t="s">
        <v>85</v>
      </c>
      <c r="E43" s="34" t="s">
        <v>89</v>
      </c>
      <c r="F43" s="11"/>
      <c r="G43" s="28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</row>
    <row r="44" spans="1:29" x14ac:dyDescent="0.25">
      <c r="A44" s="25"/>
      <c r="B44" s="11"/>
      <c r="C44" s="42" t="s">
        <v>14</v>
      </c>
      <c r="D44" s="34" t="s">
        <v>86</v>
      </c>
      <c r="E44" s="34" t="s">
        <v>90</v>
      </c>
      <c r="F44" s="11"/>
      <c r="G44" s="28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</row>
    <row r="45" spans="1:29" x14ac:dyDescent="0.25">
      <c r="A45" s="25"/>
      <c r="B45" s="11"/>
      <c r="C45" s="42" t="s">
        <v>25</v>
      </c>
      <c r="D45" s="34" t="s">
        <v>87</v>
      </c>
      <c r="E45" s="28"/>
      <c r="F45" s="11"/>
      <c r="G45" s="28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</row>
    <row r="46" spans="1:29" x14ac:dyDescent="0.25">
      <c r="A46" s="25"/>
      <c r="B46" s="11"/>
      <c r="C46" s="11"/>
      <c r="D46" s="34"/>
      <c r="E46" s="28"/>
      <c r="F46" s="11"/>
      <c r="G46" s="28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</row>
    <row r="47" spans="1:29" x14ac:dyDescent="0.25">
      <c r="A47" s="25"/>
      <c r="B47" s="11"/>
      <c r="C47" s="11"/>
      <c r="D47" s="34"/>
      <c r="E47" s="28"/>
      <c r="F47" s="11"/>
      <c r="G47" s="28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</row>
    <row r="48" spans="1:29" x14ac:dyDescent="0.25">
      <c r="A48" s="25"/>
      <c r="B48" s="11"/>
      <c r="C48" s="11"/>
      <c r="D48" s="34"/>
      <c r="E48" s="28"/>
      <c r="F48" s="11"/>
      <c r="G48" s="28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</row>
    <row r="49" spans="1:29" x14ac:dyDescent="0.25">
      <c r="A49" s="25"/>
      <c r="B49" s="11"/>
      <c r="C49" s="11"/>
      <c r="D49" s="34"/>
      <c r="E49" s="28"/>
      <c r="F49" s="11"/>
      <c r="G49" s="28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</row>
  </sheetData>
  <mergeCells count="2">
    <mergeCell ref="E3:F6"/>
    <mergeCell ref="H14:K14"/>
  </mergeCells>
  <conditionalFormatting sqref="E3">
    <cfRule type="cellIs" dxfId="6" priority="1" operator="equal">
      <formula>"NOT IN RANGE"</formula>
    </cfRule>
    <cfRule type="cellIs" dxfId="5" priority="2" operator="equal">
      <formula>"CORRECT RANGE"</formula>
    </cfRule>
  </conditionalFormatting>
  <pageMargins left="0.7" right="0.7" top="0.75" bottom="0.75" header="0.3" footer="0.3"/>
  <pageSetup paperSize="8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FD4E6C-F236-4D26-B8B0-2E32436D41D2}">
  <dimension ref="A2:L109"/>
  <sheetViews>
    <sheetView rightToLeft="1" topLeftCell="A3" workbookViewId="0">
      <selection activeCell="J19" sqref="J19"/>
    </sheetView>
  </sheetViews>
  <sheetFormatPr defaultRowHeight="15" x14ac:dyDescent="0.25"/>
  <cols>
    <col min="2" max="3" width="24.5703125" customWidth="1"/>
    <col min="4" max="4" width="10" customWidth="1"/>
    <col min="5" max="5" width="7.42578125" customWidth="1"/>
    <col min="6" max="7" width="15" customWidth="1"/>
    <col min="8" max="8" width="12.42578125" customWidth="1"/>
    <col min="9" max="9" width="12" style="100" customWidth="1"/>
    <col min="10" max="10" width="16.42578125" customWidth="1"/>
    <col min="11" max="11" width="14.140625" customWidth="1"/>
    <col min="12" max="12" width="11.42578125" customWidth="1"/>
  </cols>
  <sheetData>
    <row r="2" spans="2:11" x14ac:dyDescent="0.25">
      <c r="B2" s="191" t="s">
        <v>89</v>
      </c>
      <c r="C2" s="101" t="s">
        <v>74</v>
      </c>
      <c r="D2" s="195">
        <f>G30+G41+G59+G60+G83+G86+G98+G99+G100</f>
        <v>6500000</v>
      </c>
      <c r="E2" s="195"/>
      <c r="F2" s="102">
        <f>D2/$J$2</f>
        <v>1.1216953130392766E-2</v>
      </c>
      <c r="H2" s="202" t="s">
        <v>89</v>
      </c>
      <c r="I2" s="202"/>
      <c r="J2" s="120">
        <f>D37+D49+D66+D78+D92+D106-D109</f>
        <v>579480000</v>
      </c>
      <c r="K2" s="120"/>
    </row>
    <row r="3" spans="2:11" x14ac:dyDescent="0.25">
      <c r="B3" s="191"/>
      <c r="C3" s="101" t="s">
        <v>75</v>
      </c>
      <c r="D3" s="195">
        <f>G25+G90</f>
        <v>390000000</v>
      </c>
      <c r="E3" s="195"/>
      <c r="F3" s="102">
        <f t="shared" ref="F3:F5" si="0">D3/$J$2</f>
        <v>0.67301718782356601</v>
      </c>
      <c r="H3" s="202" t="s">
        <v>206</v>
      </c>
      <c r="I3" s="202"/>
      <c r="J3" s="120">
        <f>SUM(D6:E9)</f>
        <v>614991250</v>
      </c>
      <c r="K3" s="120"/>
    </row>
    <row r="4" spans="2:11" x14ac:dyDescent="0.25">
      <c r="B4" s="191"/>
      <c r="C4" s="101" t="s">
        <v>76</v>
      </c>
      <c r="D4" s="195">
        <f>G36+G48+G65+G77+G91+(0.6*G105)</f>
        <v>22072500</v>
      </c>
      <c r="E4" s="195"/>
      <c r="F4" s="102">
        <f t="shared" si="0"/>
        <v>3.8090184303168358E-2</v>
      </c>
      <c r="H4" s="202" t="s">
        <v>207</v>
      </c>
      <c r="I4" s="202"/>
      <c r="J4" s="120">
        <f>D37+D49+D66+D78+D92+D106</f>
        <v>650502500</v>
      </c>
      <c r="K4" s="120"/>
    </row>
    <row r="5" spans="2:11" x14ac:dyDescent="0.25">
      <c r="B5" s="191"/>
      <c r="C5" s="101" t="s">
        <v>77</v>
      </c>
      <c r="D5" s="195">
        <f>J2-D2-D3-D4</f>
        <v>160907500</v>
      </c>
      <c r="E5" s="195"/>
      <c r="F5" s="102">
        <f t="shared" si="0"/>
        <v>0.27767567474287291</v>
      </c>
      <c r="H5" s="121"/>
      <c r="I5" s="97" t="s">
        <v>13</v>
      </c>
      <c r="J5" s="121"/>
      <c r="K5" s="22">
        <f>300*'S4'!D10</f>
        <v>210000000</v>
      </c>
    </row>
    <row r="6" spans="2:11" x14ac:dyDescent="0.25">
      <c r="B6" s="192" t="s">
        <v>206</v>
      </c>
      <c r="C6" s="103" t="s">
        <v>74</v>
      </c>
      <c r="D6" s="194">
        <f>D10-F16</f>
        <v>57925000</v>
      </c>
      <c r="E6" s="194"/>
      <c r="F6" s="104">
        <f>D6/$J$3</f>
        <v>9.4188331947812259E-2</v>
      </c>
      <c r="H6" s="121"/>
      <c r="I6" s="97" t="s">
        <v>14</v>
      </c>
      <c r="J6" s="121"/>
      <c r="K6" s="22">
        <f>390*'S4'!D10</f>
        <v>273000000</v>
      </c>
    </row>
    <row r="7" spans="2:11" x14ac:dyDescent="0.25">
      <c r="B7" s="192"/>
      <c r="C7" s="103" t="s">
        <v>75</v>
      </c>
      <c r="D7" s="194">
        <f>D11</f>
        <v>390000000</v>
      </c>
      <c r="E7" s="194"/>
      <c r="F7" s="104">
        <f t="shared" ref="F7:F9" si="1">D7/$J$3</f>
        <v>0.63415536399908123</v>
      </c>
      <c r="H7" s="121"/>
      <c r="I7" s="97" t="s">
        <v>25</v>
      </c>
      <c r="J7" s="121"/>
      <c r="K7" s="22">
        <f>60*'S4'!D10</f>
        <v>42000000</v>
      </c>
    </row>
    <row r="8" spans="2:11" x14ac:dyDescent="0.25">
      <c r="B8" s="192"/>
      <c r="C8" s="103" t="s">
        <v>76</v>
      </c>
      <c r="D8" s="194">
        <f>D12-F17</f>
        <v>26280000</v>
      </c>
      <c r="E8" s="194"/>
      <c r="F8" s="104">
        <f t="shared" si="1"/>
        <v>4.2732315297168859E-2</v>
      </c>
      <c r="H8" s="208" t="s">
        <v>23</v>
      </c>
      <c r="I8" s="208"/>
      <c r="J8" s="208"/>
      <c r="K8" s="20">
        <f>6*'S4'!D10*'S4'!D3*'S4'!D4</f>
        <v>0</v>
      </c>
    </row>
    <row r="9" spans="2:11" ht="15.75" x14ac:dyDescent="0.25">
      <c r="B9" s="192"/>
      <c r="C9" s="103" t="s">
        <v>77</v>
      </c>
      <c r="D9" s="194">
        <f>D13-F18</f>
        <v>140786250</v>
      </c>
      <c r="E9" s="194"/>
      <c r="F9" s="104">
        <f t="shared" si="1"/>
        <v>0.22892398875593759</v>
      </c>
      <c r="H9" s="122"/>
      <c r="I9" s="23"/>
      <c r="J9" s="123" t="s">
        <v>15</v>
      </c>
      <c r="K9" s="124">
        <v>35</v>
      </c>
    </row>
    <row r="10" spans="2:11" ht="15.75" x14ac:dyDescent="0.25">
      <c r="B10" s="193" t="s">
        <v>207</v>
      </c>
      <c r="C10" s="105" t="s">
        <v>74</v>
      </c>
      <c r="D10" s="196">
        <f>G30+G41+G59+G60+G83+G86+G97+G98+G99+G100</f>
        <v>109350000</v>
      </c>
      <c r="E10" s="196"/>
      <c r="F10" s="106">
        <f>D10/$J$4</f>
        <v>0.16810081437042901</v>
      </c>
      <c r="H10" s="125"/>
      <c r="I10" s="21"/>
      <c r="J10" s="123" t="s">
        <v>17</v>
      </c>
      <c r="K10" s="124">
        <v>50</v>
      </c>
    </row>
    <row r="11" spans="2:11" ht="15.75" x14ac:dyDescent="0.25">
      <c r="B11" s="193"/>
      <c r="C11" s="105" t="s">
        <v>75</v>
      </c>
      <c r="D11" s="196">
        <f>G25+G90</f>
        <v>390000000</v>
      </c>
      <c r="E11" s="196"/>
      <c r="F11" s="106">
        <f t="shared" ref="F11:F13" si="2">D11/$J$4</f>
        <v>0.59953651215790871</v>
      </c>
      <c r="H11" s="125"/>
      <c r="I11" s="21"/>
      <c r="J11" s="123" t="s">
        <v>18</v>
      </c>
      <c r="K11" s="124">
        <v>0</v>
      </c>
    </row>
    <row r="12" spans="2:11" x14ac:dyDescent="0.25">
      <c r="B12" s="193"/>
      <c r="C12" s="105" t="s">
        <v>76</v>
      </c>
      <c r="D12" s="196">
        <f>G36+G48+G65+G77+G91+G105</f>
        <v>30487500</v>
      </c>
      <c r="E12" s="196"/>
      <c r="F12" s="106">
        <f t="shared" si="2"/>
        <v>4.6867613883113439E-2</v>
      </c>
      <c r="H12" s="126" t="s">
        <v>89</v>
      </c>
      <c r="I12" s="127"/>
      <c r="J12" s="127">
        <f>FLOOR((J2+K8)*'S4'!D5,100000)</f>
        <v>0</v>
      </c>
      <c r="K12" s="127" t="s">
        <v>208</v>
      </c>
    </row>
    <row r="13" spans="2:11" x14ac:dyDescent="0.25">
      <c r="B13" s="193"/>
      <c r="C13" s="105" t="s">
        <v>77</v>
      </c>
      <c r="D13" s="196">
        <f>J4-D10-D11-D12</f>
        <v>120665000</v>
      </c>
      <c r="E13" s="196"/>
      <c r="F13" s="106">
        <f t="shared" si="2"/>
        <v>0.18549505958854887</v>
      </c>
      <c r="H13" s="126" t="s">
        <v>206</v>
      </c>
      <c r="I13" s="127"/>
      <c r="J13" s="127">
        <f>FLOOR((J3+K8)*'S4'!D5,100000)</f>
        <v>0</v>
      </c>
      <c r="K13" s="127"/>
    </row>
    <row r="14" spans="2:11" x14ac:dyDescent="0.25">
      <c r="H14" s="126" t="s">
        <v>207</v>
      </c>
      <c r="I14" s="127"/>
      <c r="J14" s="127">
        <f>FLOOR((J4+K8)*'S4'!D5,100000)</f>
        <v>0</v>
      </c>
      <c r="K14" s="127"/>
    </row>
    <row r="15" spans="2:11" x14ac:dyDescent="0.25">
      <c r="D15" s="201" t="s">
        <v>210</v>
      </c>
      <c r="E15" s="201"/>
      <c r="F15" s="201"/>
      <c r="H15" s="120" t="s">
        <v>89</v>
      </c>
      <c r="I15" s="8" t="s">
        <v>212</v>
      </c>
      <c r="J15" s="8">
        <f>FLOOR((J12*(1+K9*0.01)*(1+K10*0.01)*(1+K11*0.01)),100000)</f>
        <v>0</v>
      </c>
      <c r="K15" s="204" t="s">
        <v>209</v>
      </c>
    </row>
    <row r="16" spans="2:11" x14ac:dyDescent="0.25">
      <c r="D16" s="103" t="s">
        <v>74</v>
      </c>
      <c r="F16" s="128">
        <f>(D10-D2)/2</f>
        <v>51425000</v>
      </c>
      <c r="H16" s="120" t="s">
        <v>206</v>
      </c>
      <c r="I16" s="8" t="s">
        <v>212</v>
      </c>
      <c r="J16" s="8">
        <f>FLOOR((J13*(1+K9*0.01)*(1+K10*0.01)*(1+K11*0.01)),100000)</f>
        <v>0</v>
      </c>
      <c r="K16" s="204"/>
    </row>
    <row r="17" spans="1:12" x14ac:dyDescent="0.25">
      <c r="D17" s="103" t="s">
        <v>76</v>
      </c>
      <c r="F17" s="129">
        <f>(D12-D4)/2</f>
        <v>4207500</v>
      </c>
      <c r="H17" s="156" t="s">
        <v>207</v>
      </c>
      <c r="I17" s="157" t="s">
        <v>212</v>
      </c>
      <c r="J17" s="157">
        <f>FLOOR((J14*(1+K9*0.01)*(1+K10*0.01)*(1+K11*0.01)),100000)</f>
        <v>0</v>
      </c>
      <c r="K17" s="207"/>
    </row>
    <row r="18" spans="1:12" ht="18.75" x14ac:dyDescent="0.25">
      <c r="D18" s="103" t="s">
        <v>77</v>
      </c>
      <c r="F18" s="129">
        <f>(D13-D5)/2</f>
        <v>-20121250</v>
      </c>
      <c r="H18" s="205" t="s">
        <v>214</v>
      </c>
      <c r="I18" s="206"/>
      <c r="J18" s="161">
        <f>Invoice!C20</f>
        <v>28</v>
      </c>
      <c r="K18" s="121"/>
    </row>
    <row r="19" spans="1:12" x14ac:dyDescent="0.25">
      <c r="H19" s="158" t="s">
        <v>89</v>
      </c>
      <c r="I19" s="159" t="s">
        <v>211</v>
      </c>
      <c r="J19" s="159">
        <f>J15*(100-$J$18)/100</f>
        <v>0</v>
      </c>
      <c r="K19" s="203" t="s">
        <v>209</v>
      </c>
    </row>
    <row r="20" spans="1:12" x14ac:dyDescent="0.25">
      <c r="H20" s="120" t="s">
        <v>206</v>
      </c>
      <c r="I20" s="8" t="s">
        <v>211</v>
      </c>
      <c r="J20" s="159">
        <f t="shared" ref="J20:J21" si="3">J16*(100-$J$18)/100</f>
        <v>0</v>
      </c>
      <c r="K20" s="204"/>
    </row>
    <row r="21" spans="1:12" x14ac:dyDescent="0.25">
      <c r="H21" s="120" t="s">
        <v>207</v>
      </c>
      <c r="I21" s="8" t="s">
        <v>211</v>
      </c>
      <c r="J21" s="159">
        <f t="shared" si="3"/>
        <v>0</v>
      </c>
      <c r="K21" s="204"/>
    </row>
    <row r="22" spans="1:12" x14ac:dyDescent="0.25">
      <c r="A22" s="152"/>
      <c r="B22" s="152"/>
      <c r="C22" s="152"/>
      <c r="D22" s="152"/>
      <c r="E22" s="152"/>
      <c r="F22" s="152"/>
      <c r="G22" s="152"/>
      <c r="H22" s="153"/>
      <c r="I22" s="155"/>
      <c r="J22" s="154"/>
      <c r="K22" s="155"/>
      <c r="L22" s="152"/>
    </row>
    <row r="23" spans="1:12" ht="21" x14ac:dyDescent="0.25">
      <c r="B23" s="1"/>
      <c r="C23" s="1"/>
      <c r="D23" s="200" t="s">
        <v>30</v>
      </c>
      <c r="E23" s="200"/>
      <c r="F23" s="200"/>
      <c r="G23" s="2"/>
    </row>
    <row r="24" spans="1:12" x14ac:dyDescent="0.25">
      <c r="B24" s="3"/>
      <c r="C24" s="3"/>
      <c r="D24" s="4" t="s">
        <v>0</v>
      </c>
      <c r="E24" s="4" t="s">
        <v>1</v>
      </c>
      <c r="F24" s="5" t="s">
        <v>28</v>
      </c>
      <c r="G24" s="2"/>
    </row>
    <row r="25" spans="1:12" ht="40.15" customHeight="1" x14ac:dyDescent="0.25">
      <c r="B25" s="3"/>
      <c r="C25" s="37" t="str">
        <f>'S4'!D8</f>
        <v xml:space="preserve">120Nm بکر آلمان </v>
      </c>
      <c r="D25" s="6">
        <v>1</v>
      </c>
      <c r="E25" s="7" t="s">
        <v>2</v>
      </c>
      <c r="F25" s="47">
        <f>IF(AND(C25="120Nm بکر آلمان "),K5,IF(AND(C25="120Nm  سامفی فرانسه "),K6,IF(AND(C25="120Nm  اختصاصی سایه روشن "),K7,0)))</f>
        <v>210000000</v>
      </c>
      <c r="G25" s="8">
        <f t="shared" ref="G25:G36" si="4">F25*D25</f>
        <v>210000000</v>
      </c>
    </row>
    <row r="26" spans="1:12" ht="40.15" customHeight="1" x14ac:dyDescent="0.25">
      <c r="B26" s="3"/>
      <c r="C26" s="3" t="s">
        <v>26</v>
      </c>
      <c r="D26" s="6">
        <v>2</v>
      </c>
      <c r="E26" s="7" t="s">
        <v>2</v>
      </c>
      <c r="F26" s="47">
        <v>1200000</v>
      </c>
      <c r="G26" s="8">
        <f t="shared" si="4"/>
        <v>2400000</v>
      </c>
    </row>
    <row r="27" spans="1:12" ht="40.15" customHeight="1" x14ac:dyDescent="0.25">
      <c r="B27" s="3"/>
      <c r="C27" s="3" t="s">
        <v>3</v>
      </c>
      <c r="D27" s="6">
        <v>1.5</v>
      </c>
      <c r="E27" s="7" t="s">
        <v>4</v>
      </c>
      <c r="F27" s="47">
        <v>750000</v>
      </c>
      <c r="G27" s="8">
        <f t="shared" si="4"/>
        <v>1125000</v>
      </c>
    </row>
    <row r="28" spans="1:12" ht="40.15" customHeight="1" x14ac:dyDescent="0.25">
      <c r="B28" s="3"/>
      <c r="C28" s="3" t="s">
        <v>27</v>
      </c>
      <c r="D28" s="6">
        <v>2</v>
      </c>
      <c r="E28" s="7" t="s">
        <v>2</v>
      </c>
      <c r="F28" s="47">
        <v>350000</v>
      </c>
      <c r="G28" s="8">
        <f t="shared" si="4"/>
        <v>700000</v>
      </c>
    </row>
    <row r="29" spans="1:12" ht="40.15" customHeight="1" x14ac:dyDescent="0.25">
      <c r="B29" s="3"/>
      <c r="C29" s="3" t="s">
        <v>5</v>
      </c>
      <c r="D29" s="38">
        <f>IF(AND('S4'!D4&lt;=4),('S4'!D4-0.8),IF(AND('S4'!D4&gt;4),(('S4'!D4/2)-0.8),0))</f>
        <v>-0.8</v>
      </c>
      <c r="E29" s="7" t="s">
        <v>2</v>
      </c>
      <c r="F29" s="47">
        <f>H29*'S4'!D11</f>
        <v>4400000</v>
      </c>
      <c r="G29" s="8">
        <f t="shared" si="4"/>
        <v>-3520000</v>
      </c>
      <c r="H29">
        <v>2</v>
      </c>
    </row>
    <row r="30" spans="1:12" ht="40.15" customHeight="1" x14ac:dyDescent="0.25">
      <c r="B30" s="3"/>
      <c r="C30" s="3" t="s">
        <v>29</v>
      </c>
      <c r="D30" s="6">
        <v>2</v>
      </c>
      <c r="E30" s="7" t="s">
        <v>2</v>
      </c>
      <c r="F30" s="47">
        <v>750000</v>
      </c>
      <c r="G30" s="8">
        <f t="shared" si="4"/>
        <v>1500000</v>
      </c>
    </row>
    <row r="31" spans="1:12" ht="40.15" customHeight="1" x14ac:dyDescent="0.25">
      <c r="B31" s="3"/>
      <c r="C31" s="3" t="s">
        <v>6</v>
      </c>
      <c r="D31" s="6">
        <v>2</v>
      </c>
      <c r="E31" s="7" t="s">
        <v>2</v>
      </c>
      <c r="F31" s="47">
        <v>850000</v>
      </c>
      <c r="G31" s="8">
        <f t="shared" si="4"/>
        <v>1700000</v>
      </c>
    </row>
    <row r="32" spans="1:12" ht="40.15" customHeight="1" x14ac:dyDescent="0.25">
      <c r="B32" s="3"/>
      <c r="C32" s="3" t="s">
        <v>7</v>
      </c>
      <c r="D32" s="6">
        <v>1</v>
      </c>
      <c r="E32" s="7" t="s">
        <v>2</v>
      </c>
      <c r="F32" s="47">
        <v>2500000</v>
      </c>
      <c r="G32" s="8">
        <f t="shared" si="4"/>
        <v>2500000</v>
      </c>
    </row>
    <row r="33" spans="2:8" ht="40.15" customHeight="1" x14ac:dyDescent="0.25">
      <c r="B33" s="3"/>
      <c r="C33" s="3" t="s">
        <v>8</v>
      </c>
      <c r="D33" s="6">
        <v>1</v>
      </c>
      <c r="E33" s="7" t="s">
        <v>2</v>
      </c>
      <c r="F33" s="47">
        <v>1400000</v>
      </c>
      <c r="G33" s="8">
        <f t="shared" si="4"/>
        <v>1400000</v>
      </c>
    </row>
    <row r="34" spans="2:8" ht="40.15" customHeight="1" x14ac:dyDescent="0.25">
      <c r="B34" s="3"/>
      <c r="C34" s="3" t="s">
        <v>9</v>
      </c>
      <c r="D34" s="6">
        <v>6</v>
      </c>
      <c r="E34" s="7" t="s">
        <v>2</v>
      </c>
      <c r="F34" s="48">
        <v>40000</v>
      </c>
      <c r="G34" s="8">
        <f t="shared" si="4"/>
        <v>240000</v>
      </c>
    </row>
    <row r="35" spans="2:8" ht="40.15" customHeight="1" x14ac:dyDescent="0.25">
      <c r="B35" s="3"/>
      <c r="C35" s="3" t="s">
        <v>10</v>
      </c>
      <c r="D35" s="6">
        <v>1</v>
      </c>
      <c r="E35" s="7" t="s">
        <v>2</v>
      </c>
      <c r="F35" s="48">
        <v>60000</v>
      </c>
      <c r="G35" s="8">
        <f t="shared" si="4"/>
        <v>60000</v>
      </c>
    </row>
    <row r="36" spans="2:8" ht="40.15" customHeight="1" x14ac:dyDescent="0.25">
      <c r="B36" s="3"/>
      <c r="C36" s="3" t="s">
        <v>11</v>
      </c>
      <c r="D36" s="6">
        <v>5</v>
      </c>
      <c r="E36" s="9" t="s">
        <v>12</v>
      </c>
      <c r="F36" s="47">
        <f>'S4'!D12</f>
        <v>450000</v>
      </c>
      <c r="G36" s="8">
        <f t="shared" si="4"/>
        <v>2250000</v>
      </c>
    </row>
    <row r="37" spans="2:8" ht="40.15" customHeight="1" x14ac:dyDescent="0.25">
      <c r="B37" s="10"/>
      <c r="C37" s="10"/>
      <c r="D37" s="197">
        <f>SUM(G25:G36)</f>
        <v>220355000</v>
      </c>
      <c r="E37" s="198"/>
      <c r="F37" s="198"/>
      <c r="G37" s="199"/>
    </row>
    <row r="39" spans="2:8" ht="21" x14ac:dyDescent="0.25">
      <c r="B39" s="1"/>
      <c r="C39" s="1"/>
      <c r="D39" s="200" t="s">
        <v>31</v>
      </c>
      <c r="E39" s="200"/>
      <c r="F39" s="200"/>
      <c r="G39" s="2"/>
    </row>
    <row r="40" spans="2:8" x14ac:dyDescent="0.25">
      <c r="B40" s="3" t="s">
        <v>42</v>
      </c>
      <c r="C40" s="40">
        <f>2+'S4'!F10</f>
        <v>2</v>
      </c>
      <c r="D40" s="4" t="s">
        <v>0</v>
      </c>
      <c r="E40" s="4" t="s">
        <v>1</v>
      </c>
      <c r="F40" s="5" t="s">
        <v>28</v>
      </c>
      <c r="G40" s="2"/>
    </row>
    <row r="41" spans="2:8" ht="40.15" customHeight="1" x14ac:dyDescent="0.25">
      <c r="B41" s="3"/>
      <c r="C41" s="37" t="s">
        <v>32</v>
      </c>
      <c r="D41" s="39">
        <f>C40*'S4'!D3</f>
        <v>0</v>
      </c>
      <c r="E41" s="7" t="s">
        <v>4</v>
      </c>
      <c r="F41" s="47">
        <f>H41*'S4'!D11</f>
        <v>13420000</v>
      </c>
      <c r="G41" s="8">
        <f t="shared" ref="G41:G48" si="5">F41*D41</f>
        <v>0</v>
      </c>
      <c r="H41">
        <v>6.1</v>
      </c>
    </row>
    <row r="42" spans="2:8" ht="40.15" customHeight="1" x14ac:dyDescent="0.25">
      <c r="B42" s="3"/>
      <c r="C42" s="3" t="s">
        <v>35</v>
      </c>
      <c r="D42" s="6">
        <f>(D41*2)+(C40*0.6)</f>
        <v>1.2</v>
      </c>
      <c r="E42" s="7" t="s">
        <v>2</v>
      </c>
      <c r="F42" s="47">
        <v>1800000</v>
      </c>
      <c r="G42" s="8">
        <f t="shared" si="5"/>
        <v>2160000</v>
      </c>
    </row>
    <row r="43" spans="2:8" ht="40.15" customHeight="1" x14ac:dyDescent="0.25">
      <c r="B43" s="3"/>
      <c r="C43" s="3" t="s">
        <v>36</v>
      </c>
      <c r="D43" s="6">
        <f>D41/0.25</f>
        <v>0</v>
      </c>
      <c r="E43" s="7" t="s">
        <v>4</v>
      </c>
      <c r="F43" s="47">
        <v>1200000</v>
      </c>
      <c r="G43" s="8">
        <f t="shared" si="5"/>
        <v>0</v>
      </c>
    </row>
    <row r="44" spans="2:8" ht="40.15" customHeight="1" x14ac:dyDescent="0.25">
      <c r="B44" s="3"/>
      <c r="C44" s="3" t="s">
        <v>38</v>
      </c>
      <c r="D44" s="6">
        <f>'S4'!D4*2</f>
        <v>0</v>
      </c>
      <c r="E44" s="7" t="s">
        <v>4</v>
      </c>
      <c r="F44" s="47">
        <v>2500000</v>
      </c>
      <c r="G44" s="8">
        <f t="shared" si="5"/>
        <v>0</v>
      </c>
    </row>
    <row r="45" spans="2:8" ht="40.15" customHeight="1" x14ac:dyDescent="0.25">
      <c r="B45" s="3"/>
      <c r="C45" s="3" t="s">
        <v>39</v>
      </c>
      <c r="D45" s="39">
        <f>C40</f>
        <v>2</v>
      </c>
      <c r="E45" s="7" t="s">
        <v>2</v>
      </c>
      <c r="F45" s="48">
        <v>200000</v>
      </c>
      <c r="G45" s="8">
        <f t="shared" si="5"/>
        <v>400000</v>
      </c>
    </row>
    <row r="46" spans="2:8" ht="40.15" customHeight="1" x14ac:dyDescent="0.25">
      <c r="B46" s="3"/>
      <c r="C46" s="3" t="s">
        <v>40</v>
      </c>
      <c r="D46" s="6">
        <f>12*C40</f>
        <v>24</v>
      </c>
      <c r="E46" s="7" t="s">
        <v>2</v>
      </c>
      <c r="F46" s="48">
        <v>40000</v>
      </c>
      <c r="G46" s="8">
        <f t="shared" si="5"/>
        <v>960000</v>
      </c>
    </row>
    <row r="47" spans="2:8" ht="40.15" customHeight="1" x14ac:dyDescent="0.25">
      <c r="B47" s="3"/>
      <c r="C47" s="3" t="s">
        <v>41</v>
      </c>
      <c r="D47" s="6">
        <f>D46</f>
        <v>24</v>
      </c>
      <c r="E47" s="7" t="s">
        <v>2</v>
      </c>
      <c r="F47" s="2">
        <v>60000</v>
      </c>
      <c r="G47" s="8">
        <f t="shared" si="5"/>
        <v>1440000</v>
      </c>
    </row>
    <row r="48" spans="2:8" ht="40.15" customHeight="1" x14ac:dyDescent="0.25">
      <c r="B48" s="3"/>
      <c r="C48" s="3" t="s">
        <v>11</v>
      </c>
      <c r="D48" s="6">
        <f>H41*D41</f>
        <v>0</v>
      </c>
      <c r="E48" s="9" t="s">
        <v>12</v>
      </c>
      <c r="F48" s="47">
        <f>'S4'!D12</f>
        <v>450000</v>
      </c>
      <c r="G48" s="8">
        <f t="shared" si="5"/>
        <v>0</v>
      </c>
    </row>
    <row r="49" spans="2:7" ht="40.15" customHeight="1" x14ac:dyDescent="0.25">
      <c r="B49" s="10"/>
      <c r="C49" s="10"/>
      <c r="D49" s="197">
        <f>SUM(G41:G48)</f>
        <v>4960000</v>
      </c>
      <c r="E49" s="198"/>
      <c r="F49" s="198"/>
      <c r="G49" s="199"/>
    </row>
    <row r="52" spans="2:7" ht="21" x14ac:dyDescent="0.25">
      <c r="B52" s="1"/>
      <c r="C52" s="1"/>
      <c r="D52" s="200" t="s">
        <v>43</v>
      </c>
      <c r="E52" s="200"/>
      <c r="F52" s="200"/>
      <c r="G52" s="2"/>
    </row>
    <row r="53" spans="2:7" x14ac:dyDescent="0.25">
      <c r="B53" s="3" t="s">
        <v>42</v>
      </c>
      <c r="C53" s="40">
        <f>2+'S4'!F10</f>
        <v>2</v>
      </c>
      <c r="D53" s="4" t="s">
        <v>0</v>
      </c>
      <c r="E53" s="4" t="s">
        <v>1</v>
      </c>
      <c r="F53" s="5" t="s">
        <v>28</v>
      </c>
      <c r="G53" s="2"/>
    </row>
    <row r="54" spans="2:7" ht="40.15" customHeight="1" x14ac:dyDescent="0.25">
      <c r="B54" s="3"/>
      <c r="C54" s="3" t="s">
        <v>44</v>
      </c>
      <c r="D54" s="39">
        <f>C53</f>
        <v>2</v>
      </c>
      <c r="E54" s="7" t="s">
        <v>2</v>
      </c>
      <c r="F54" s="47">
        <v>2100000</v>
      </c>
      <c r="G54" s="8">
        <f t="shared" ref="G54:G65" si="6">F54*D54</f>
        <v>4200000</v>
      </c>
    </row>
    <row r="55" spans="2:7" ht="40.15" customHeight="1" x14ac:dyDescent="0.25">
      <c r="B55" s="3"/>
      <c r="C55" s="3" t="s">
        <v>45</v>
      </c>
      <c r="D55" s="39">
        <f>C53</f>
        <v>2</v>
      </c>
      <c r="E55" s="7" t="s">
        <v>2</v>
      </c>
      <c r="F55" s="47">
        <v>1500000</v>
      </c>
      <c r="G55" s="8">
        <f t="shared" si="6"/>
        <v>3000000</v>
      </c>
    </row>
    <row r="56" spans="2:7" ht="40.15" customHeight="1" x14ac:dyDescent="0.25">
      <c r="B56" s="3"/>
      <c r="C56" s="3" t="s">
        <v>46</v>
      </c>
      <c r="D56" s="6">
        <f>2*C53</f>
        <v>4</v>
      </c>
      <c r="E56" s="7" t="s">
        <v>2</v>
      </c>
      <c r="F56" s="47">
        <v>250000</v>
      </c>
      <c r="G56" s="8">
        <f t="shared" si="6"/>
        <v>1000000</v>
      </c>
    </row>
    <row r="57" spans="2:7" ht="40.15" customHeight="1" x14ac:dyDescent="0.25">
      <c r="B57" s="3"/>
      <c r="C57" s="3" t="s">
        <v>50</v>
      </c>
      <c r="D57" s="6">
        <f>2*C53</f>
        <v>4</v>
      </c>
      <c r="E57" s="7" t="s">
        <v>2</v>
      </c>
      <c r="F57" s="2">
        <v>50000</v>
      </c>
      <c r="G57" s="8">
        <f t="shared" si="6"/>
        <v>200000</v>
      </c>
    </row>
    <row r="58" spans="2:7" ht="40.15" customHeight="1" x14ac:dyDescent="0.25">
      <c r="B58" s="3"/>
      <c r="C58" s="3" t="s">
        <v>27</v>
      </c>
      <c r="D58" s="39">
        <f>D54</f>
        <v>2</v>
      </c>
      <c r="E58" s="7" t="s">
        <v>4</v>
      </c>
      <c r="F58" s="47">
        <v>350000</v>
      </c>
      <c r="G58" s="8">
        <f t="shared" si="6"/>
        <v>700000</v>
      </c>
    </row>
    <row r="59" spans="2:7" ht="40.15" customHeight="1" x14ac:dyDescent="0.25">
      <c r="B59" s="3"/>
      <c r="C59" s="3" t="s">
        <v>29</v>
      </c>
      <c r="D59" s="6">
        <v>2</v>
      </c>
      <c r="E59" s="7" t="s">
        <v>2</v>
      </c>
      <c r="F59" s="47">
        <v>750000</v>
      </c>
      <c r="G59" s="8">
        <f t="shared" si="6"/>
        <v>1500000</v>
      </c>
    </row>
    <row r="60" spans="2:7" ht="40.15" customHeight="1" x14ac:dyDescent="0.25">
      <c r="B60" s="3"/>
      <c r="C60" s="3" t="s">
        <v>5</v>
      </c>
      <c r="D60" s="38">
        <f>0.25*C53</f>
        <v>0.5</v>
      </c>
      <c r="E60" s="7" t="s">
        <v>2</v>
      </c>
      <c r="F60" s="47">
        <v>7000000</v>
      </c>
      <c r="G60" s="8">
        <f t="shared" si="6"/>
        <v>3500000</v>
      </c>
    </row>
    <row r="61" spans="2:7" ht="40.15" customHeight="1" x14ac:dyDescent="0.25">
      <c r="B61" s="3"/>
      <c r="C61" s="3" t="s">
        <v>6</v>
      </c>
      <c r="D61" s="6">
        <v>2</v>
      </c>
      <c r="E61" s="7" t="s">
        <v>2</v>
      </c>
      <c r="F61" s="47">
        <v>850000</v>
      </c>
      <c r="G61" s="8">
        <f t="shared" si="6"/>
        <v>1700000</v>
      </c>
    </row>
    <row r="62" spans="2:7" ht="40.15" customHeight="1" x14ac:dyDescent="0.25">
      <c r="B62" s="3"/>
      <c r="C62" s="3" t="s">
        <v>48</v>
      </c>
      <c r="D62" s="6">
        <f>D58*2</f>
        <v>4</v>
      </c>
      <c r="E62" s="7" t="s">
        <v>2</v>
      </c>
      <c r="F62" s="2">
        <v>60000</v>
      </c>
      <c r="G62" s="8">
        <f t="shared" si="6"/>
        <v>240000</v>
      </c>
    </row>
    <row r="63" spans="2:7" ht="40.15" customHeight="1" x14ac:dyDescent="0.25">
      <c r="B63" s="3"/>
      <c r="C63" s="3" t="s">
        <v>49</v>
      </c>
      <c r="D63" s="6">
        <f>4*C53</f>
        <v>8</v>
      </c>
      <c r="E63" s="7" t="s">
        <v>2</v>
      </c>
      <c r="F63" s="2">
        <v>60000</v>
      </c>
      <c r="G63" s="8">
        <f t="shared" si="6"/>
        <v>480000</v>
      </c>
    </row>
    <row r="64" spans="2:7" ht="40.15" customHeight="1" x14ac:dyDescent="0.25">
      <c r="B64" s="3"/>
      <c r="C64" s="3" t="s">
        <v>47</v>
      </c>
      <c r="D64" s="39">
        <f>C53</f>
        <v>2</v>
      </c>
      <c r="E64" s="7" t="s">
        <v>2</v>
      </c>
      <c r="F64" s="2">
        <v>350000</v>
      </c>
      <c r="G64" s="8">
        <f t="shared" si="6"/>
        <v>700000</v>
      </c>
    </row>
    <row r="65" spans="2:7" ht="40.15" customHeight="1" x14ac:dyDescent="0.25">
      <c r="B65" s="3"/>
      <c r="C65" s="3" t="s">
        <v>11</v>
      </c>
      <c r="D65" s="6">
        <f>4*C53</f>
        <v>8</v>
      </c>
      <c r="E65" s="9" t="s">
        <v>12</v>
      </c>
      <c r="F65" s="47">
        <f>'S4'!D12</f>
        <v>450000</v>
      </c>
      <c r="G65" s="8">
        <f t="shared" si="6"/>
        <v>3600000</v>
      </c>
    </row>
    <row r="66" spans="2:7" ht="40.15" customHeight="1" x14ac:dyDescent="0.25">
      <c r="B66" s="10"/>
      <c r="C66" s="10"/>
      <c r="D66" s="197">
        <f>SUM(G54:G65)</f>
        <v>20820000</v>
      </c>
      <c r="E66" s="198"/>
      <c r="F66" s="198"/>
      <c r="G66" s="199"/>
    </row>
    <row r="69" spans="2:7" ht="21" x14ac:dyDescent="0.25">
      <c r="B69" s="1"/>
      <c r="C69" s="1"/>
      <c r="D69" s="200" t="s">
        <v>51</v>
      </c>
      <c r="E69" s="200"/>
      <c r="F69" s="200"/>
      <c r="G69" s="2"/>
    </row>
    <row r="70" spans="2:7" x14ac:dyDescent="0.25">
      <c r="B70" s="3" t="s">
        <v>42</v>
      </c>
      <c r="C70" s="40">
        <f>2+'S4'!F10</f>
        <v>2</v>
      </c>
      <c r="D70" s="4" t="s">
        <v>0</v>
      </c>
      <c r="E70" s="4" t="s">
        <v>1</v>
      </c>
      <c r="F70" s="5" t="s">
        <v>28</v>
      </c>
      <c r="G70" s="2"/>
    </row>
    <row r="71" spans="2:7" ht="40.15" customHeight="1" x14ac:dyDescent="0.25">
      <c r="B71" s="3"/>
      <c r="C71" s="3" t="s">
        <v>44</v>
      </c>
      <c r="D71" s="39">
        <f>C70</f>
        <v>2</v>
      </c>
      <c r="E71" s="7" t="s">
        <v>2</v>
      </c>
      <c r="F71" s="47">
        <v>3500000</v>
      </c>
      <c r="G71" s="8">
        <f t="shared" ref="G71:G77" si="7">F71*D71</f>
        <v>7000000</v>
      </c>
    </row>
    <row r="72" spans="2:7" ht="40.15" customHeight="1" x14ac:dyDescent="0.25">
      <c r="B72" s="3"/>
      <c r="C72" s="3" t="s">
        <v>52</v>
      </c>
      <c r="D72" s="39">
        <f>C70</f>
        <v>2</v>
      </c>
      <c r="E72" s="7" t="s">
        <v>2</v>
      </c>
      <c r="F72" s="47">
        <v>1300000</v>
      </c>
      <c r="G72" s="8">
        <f t="shared" si="7"/>
        <v>2600000</v>
      </c>
    </row>
    <row r="73" spans="2:7" ht="40.15" customHeight="1" x14ac:dyDescent="0.25">
      <c r="B73" s="3"/>
      <c r="C73" s="3" t="s">
        <v>53</v>
      </c>
      <c r="D73" s="39">
        <f>C70</f>
        <v>2</v>
      </c>
      <c r="E73" s="7" t="s">
        <v>2</v>
      </c>
      <c r="F73" s="47">
        <v>470000</v>
      </c>
      <c r="G73" s="8">
        <f t="shared" si="7"/>
        <v>940000</v>
      </c>
    </row>
    <row r="74" spans="2:7" ht="40.15" customHeight="1" x14ac:dyDescent="0.25">
      <c r="B74" s="3"/>
      <c r="C74" s="3" t="s">
        <v>54</v>
      </c>
      <c r="D74" s="6">
        <f>2*C70</f>
        <v>4</v>
      </c>
      <c r="E74" s="7" t="s">
        <v>2</v>
      </c>
      <c r="F74" s="2">
        <v>50000</v>
      </c>
      <c r="G74" s="8">
        <f t="shared" si="7"/>
        <v>200000</v>
      </c>
    </row>
    <row r="75" spans="2:7" ht="40.15" customHeight="1" x14ac:dyDescent="0.25">
      <c r="B75" s="3"/>
      <c r="C75" s="3" t="s">
        <v>55</v>
      </c>
      <c r="D75" s="39">
        <f>D72</f>
        <v>2</v>
      </c>
      <c r="E75" s="7" t="s">
        <v>2</v>
      </c>
      <c r="F75" s="2">
        <v>60000</v>
      </c>
      <c r="G75" s="8">
        <f t="shared" si="7"/>
        <v>120000</v>
      </c>
    </row>
    <row r="76" spans="2:7" ht="40.15" customHeight="1" x14ac:dyDescent="0.25">
      <c r="B76" s="3"/>
      <c r="C76" s="3" t="s">
        <v>47</v>
      </c>
      <c r="D76" s="39">
        <f>C70</f>
        <v>2</v>
      </c>
      <c r="E76" s="7" t="s">
        <v>2</v>
      </c>
      <c r="F76" s="2">
        <v>350000</v>
      </c>
      <c r="G76" s="8">
        <f t="shared" si="7"/>
        <v>700000</v>
      </c>
    </row>
    <row r="77" spans="2:7" ht="40.15" customHeight="1" x14ac:dyDescent="0.25">
      <c r="B77" s="3"/>
      <c r="C77" s="3" t="s">
        <v>11</v>
      </c>
      <c r="D77" s="6">
        <f>4*C70</f>
        <v>8</v>
      </c>
      <c r="E77" s="9" t="s">
        <v>12</v>
      </c>
      <c r="F77" s="47">
        <f>'S4'!D12</f>
        <v>450000</v>
      </c>
      <c r="G77" s="8">
        <f t="shared" si="7"/>
        <v>3600000</v>
      </c>
    </row>
    <row r="78" spans="2:7" ht="40.15" customHeight="1" x14ac:dyDescent="0.25">
      <c r="B78" s="10"/>
      <c r="C78" s="10"/>
      <c r="D78" s="197">
        <f>SUM(G71:G77)</f>
        <v>15160000</v>
      </c>
      <c r="E78" s="198"/>
      <c r="F78" s="198"/>
      <c r="G78" s="199"/>
    </row>
    <row r="81" spans="2:8" ht="21" x14ac:dyDescent="0.25">
      <c r="B81" s="1"/>
      <c r="C81" s="1"/>
      <c r="D81" s="200" t="s">
        <v>56</v>
      </c>
      <c r="E81" s="200"/>
      <c r="F81" s="200"/>
      <c r="G81" s="2"/>
    </row>
    <row r="82" spans="2:8" x14ac:dyDescent="0.25">
      <c r="B82" s="3" t="s">
        <v>59</v>
      </c>
      <c r="C82" s="40">
        <f>'S4'!D3/0.25</f>
        <v>0</v>
      </c>
      <c r="D82" s="4" t="s">
        <v>0</v>
      </c>
      <c r="E82" s="4" t="s">
        <v>1</v>
      </c>
      <c r="F82" s="5" t="s">
        <v>28</v>
      </c>
      <c r="G82" s="2"/>
    </row>
    <row r="83" spans="2:8" ht="40.15" customHeight="1" x14ac:dyDescent="0.25">
      <c r="B83" s="3"/>
      <c r="C83" s="3" t="s">
        <v>57</v>
      </c>
      <c r="D83" s="39">
        <f>(C82*'S4'!D4)</f>
        <v>0</v>
      </c>
      <c r="E83" s="7" t="s">
        <v>2</v>
      </c>
      <c r="F83" s="47">
        <f>H83*'S4'!$D$11</f>
        <v>7194000</v>
      </c>
      <c r="G83" s="8">
        <f t="shared" ref="G83:G91" si="8">F83*D83</f>
        <v>0</v>
      </c>
      <c r="H83">
        <v>3.27</v>
      </c>
    </row>
    <row r="84" spans="2:8" ht="40.15" customHeight="1" x14ac:dyDescent="0.25">
      <c r="B84" s="3"/>
      <c r="C84" s="3" t="s">
        <v>58</v>
      </c>
      <c r="D84" s="39">
        <f>C82*2</f>
        <v>0</v>
      </c>
      <c r="E84" s="7" t="s">
        <v>2</v>
      </c>
      <c r="F84" s="47">
        <v>450000</v>
      </c>
      <c r="G84" s="8">
        <f t="shared" si="8"/>
        <v>0</v>
      </c>
    </row>
    <row r="85" spans="2:8" ht="40.15" customHeight="1" x14ac:dyDescent="0.25">
      <c r="B85" s="3"/>
      <c r="C85" s="3" t="s">
        <v>60</v>
      </c>
      <c r="D85" s="39">
        <f>D43</f>
        <v>0</v>
      </c>
      <c r="E85" s="7" t="s">
        <v>2</v>
      </c>
      <c r="F85" s="47">
        <v>550000</v>
      </c>
      <c r="G85" s="8">
        <f t="shared" si="8"/>
        <v>0</v>
      </c>
    </row>
    <row r="86" spans="2:8" ht="40.15" customHeight="1" x14ac:dyDescent="0.25">
      <c r="B86" s="3"/>
      <c r="C86" s="3" t="s">
        <v>61</v>
      </c>
      <c r="D86" s="6">
        <f>'S4'!D3*2</f>
        <v>0</v>
      </c>
      <c r="E86" s="7" t="s">
        <v>4</v>
      </c>
      <c r="F86" s="47">
        <f>H86*'S4'!D11</f>
        <v>2860000</v>
      </c>
      <c r="G86" s="8">
        <f t="shared" si="8"/>
        <v>0</v>
      </c>
      <c r="H86">
        <v>1.3</v>
      </c>
    </row>
    <row r="87" spans="2:8" ht="40.15" customHeight="1" x14ac:dyDescent="0.25">
      <c r="B87" s="3"/>
      <c r="C87" s="3" t="s">
        <v>62</v>
      </c>
      <c r="D87" s="39">
        <v>6</v>
      </c>
      <c r="E87" s="7" t="s">
        <v>2</v>
      </c>
      <c r="F87" s="47">
        <v>1200000</v>
      </c>
      <c r="G87" s="8">
        <f t="shared" si="8"/>
        <v>7200000</v>
      </c>
    </row>
    <row r="88" spans="2:8" ht="40.15" customHeight="1" x14ac:dyDescent="0.25">
      <c r="B88" s="3"/>
      <c r="C88" s="3" t="s">
        <v>63</v>
      </c>
      <c r="D88" s="39">
        <f>D87</f>
        <v>6</v>
      </c>
      <c r="E88" s="7" t="s">
        <v>2</v>
      </c>
      <c r="F88" s="47">
        <v>350000</v>
      </c>
      <c r="G88" s="8">
        <f t="shared" si="8"/>
        <v>2100000</v>
      </c>
    </row>
    <row r="89" spans="2:8" ht="40.15" customHeight="1" x14ac:dyDescent="0.25">
      <c r="B89" s="3"/>
      <c r="C89" s="3" t="s">
        <v>53</v>
      </c>
      <c r="D89" s="39">
        <f>D87</f>
        <v>6</v>
      </c>
      <c r="E89" s="7" t="s">
        <v>2</v>
      </c>
      <c r="F89" s="47">
        <v>470000</v>
      </c>
      <c r="G89" s="8">
        <f t="shared" si="8"/>
        <v>2820000</v>
      </c>
    </row>
    <row r="90" spans="2:8" ht="40.15" customHeight="1" x14ac:dyDescent="0.25">
      <c r="B90" s="3"/>
      <c r="C90" s="3" t="s">
        <v>64</v>
      </c>
      <c r="D90" s="39">
        <v>2</v>
      </c>
      <c r="E90" s="7" t="s">
        <v>2</v>
      </c>
      <c r="F90" s="47">
        <v>90000000</v>
      </c>
      <c r="G90" s="8">
        <f t="shared" si="8"/>
        <v>180000000</v>
      </c>
    </row>
    <row r="91" spans="2:8" ht="40.15" customHeight="1" x14ac:dyDescent="0.25">
      <c r="B91" s="3"/>
      <c r="C91" s="3" t="s">
        <v>11</v>
      </c>
      <c r="D91" s="6">
        <f>((H83*D83)+(H86*D86))</f>
        <v>0</v>
      </c>
      <c r="E91" s="9" t="s">
        <v>12</v>
      </c>
      <c r="F91" s="47">
        <f>'S4'!D12</f>
        <v>450000</v>
      </c>
      <c r="G91" s="8">
        <f t="shared" si="8"/>
        <v>0</v>
      </c>
    </row>
    <row r="92" spans="2:8" ht="40.15" customHeight="1" x14ac:dyDescent="0.25">
      <c r="B92" s="10"/>
      <c r="C92" s="10"/>
      <c r="D92" s="197">
        <f>SUM(G83:G91)</f>
        <v>192120000</v>
      </c>
      <c r="E92" s="198"/>
      <c r="F92" s="198"/>
      <c r="G92" s="199"/>
    </row>
    <row r="95" spans="2:8" ht="21" x14ac:dyDescent="0.25">
      <c r="B95" s="1"/>
      <c r="C95" s="1"/>
      <c r="D95" s="200" t="s">
        <v>65</v>
      </c>
      <c r="E95" s="200"/>
      <c r="F95" s="200"/>
      <c r="G95" s="2"/>
    </row>
    <row r="96" spans="2:8" x14ac:dyDescent="0.25">
      <c r="B96" s="3" t="s">
        <v>42</v>
      </c>
      <c r="C96" s="40">
        <f>C40</f>
        <v>2</v>
      </c>
      <c r="D96" s="4" t="s">
        <v>0</v>
      </c>
      <c r="E96" s="4" t="s">
        <v>1</v>
      </c>
      <c r="F96" s="5" t="s">
        <v>28</v>
      </c>
      <c r="G96" s="2"/>
    </row>
    <row r="97" spans="2:9" ht="40.15" customHeight="1" x14ac:dyDescent="0.25">
      <c r="B97" s="3"/>
      <c r="C97" s="3" t="s">
        <v>66</v>
      </c>
      <c r="D97" s="39">
        <f>C96*2*2.75</f>
        <v>11</v>
      </c>
      <c r="E97" s="7" t="s">
        <v>4</v>
      </c>
      <c r="F97" s="47">
        <f>H97*'S4'!$D$11</f>
        <v>9350000</v>
      </c>
      <c r="G97" s="8">
        <f t="shared" ref="G97:G105" si="9">F97*D97</f>
        <v>102850000</v>
      </c>
      <c r="H97">
        <v>4.25</v>
      </c>
      <c r="I97" s="100">
        <f>H97*D97</f>
        <v>46.75</v>
      </c>
    </row>
    <row r="98" spans="2:9" ht="40.15" customHeight="1" x14ac:dyDescent="0.25">
      <c r="B98" s="3"/>
      <c r="C98" s="3" t="s">
        <v>67</v>
      </c>
      <c r="D98" s="39">
        <f>('S4'!D3+'S4'!D4)*2</f>
        <v>0</v>
      </c>
      <c r="E98" s="7" t="s">
        <v>4</v>
      </c>
      <c r="F98" s="47">
        <f>H98*'S4'!$D$11</f>
        <v>8910000</v>
      </c>
      <c r="G98" s="8">
        <f t="shared" si="9"/>
        <v>0</v>
      </c>
      <c r="H98">
        <v>4.05</v>
      </c>
      <c r="I98" s="100">
        <f t="shared" ref="I98:I100" si="10">H98*D98</f>
        <v>0</v>
      </c>
    </row>
    <row r="99" spans="2:9" ht="40.15" customHeight="1" x14ac:dyDescent="0.25">
      <c r="B99" s="3"/>
      <c r="C99" s="3" t="s">
        <v>68</v>
      </c>
      <c r="D99" s="39">
        <f>D98</f>
        <v>0</v>
      </c>
      <c r="E99" s="7" t="s">
        <v>4</v>
      </c>
      <c r="F99" s="47">
        <f>H99*'S4'!$D$11</f>
        <v>2919400</v>
      </c>
      <c r="G99" s="8">
        <f t="shared" si="9"/>
        <v>0</v>
      </c>
      <c r="H99">
        <v>1.327</v>
      </c>
      <c r="I99" s="100">
        <f t="shared" si="10"/>
        <v>0</v>
      </c>
    </row>
    <row r="100" spans="2:9" ht="40.15" customHeight="1" x14ac:dyDescent="0.25">
      <c r="B100" s="3"/>
      <c r="C100" s="3" t="s">
        <v>69</v>
      </c>
      <c r="D100" s="38">
        <f>'S4'!D4*2</f>
        <v>0</v>
      </c>
      <c r="E100" s="7" t="s">
        <v>4</v>
      </c>
      <c r="F100" s="47">
        <f>H100*'S4'!$D$11</f>
        <v>3432000</v>
      </c>
      <c r="G100" s="8">
        <f t="shared" si="9"/>
        <v>0</v>
      </c>
      <c r="H100">
        <v>1.56</v>
      </c>
      <c r="I100" s="100">
        <f t="shared" si="10"/>
        <v>0</v>
      </c>
    </row>
    <row r="101" spans="2:9" ht="40.15" customHeight="1" x14ac:dyDescent="0.25">
      <c r="B101" s="3"/>
      <c r="C101" s="3" t="s">
        <v>70</v>
      </c>
      <c r="D101" s="39">
        <v>6</v>
      </c>
      <c r="E101" s="7" t="s">
        <v>2</v>
      </c>
      <c r="F101" s="47">
        <v>1200000</v>
      </c>
      <c r="G101" s="8">
        <f t="shared" si="9"/>
        <v>7200000</v>
      </c>
    </row>
    <row r="102" spans="2:9" ht="40.15" customHeight="1" x14ac:dyDescent="0.25">
      <c r="B102" s="3"/>
      <c r="C102" s="3" t="s">
        <v>71</v>
      </c>
      <c r="D102" s="39">
        <f>C96*2</f>
        <v>4</v>
      </c>
      <c r="E102" s="7" t="s">
        <v>2</v>
      </c>
      <c r="F102" s="47">
        <v>8000000</v>
      </c>
      <c r="G102" s="8">
        <f t="shared" si="9"/>
        <v>32000000</v>
      </c>
    </row>
    <row r="103" spans="2:9" ht="40.15" customHeight="1" x14ac:dyDescent="0.25">
      <c r="B103" s="3"/>
      <c r="C103" s="3" t="s">
        <v>72</v>
      </c>
      <c r="D103" s="39">
        <f>D102</f>
        <v>4</v>
      </c>
      <c r="E103" s="7" t="s">
        <v>2</v>
      </c>
      <c r="F103" s="47">
        <v>4800000</v>
      </c>
      <c r="G103" s="8">
        <f>F103*D103</f>
        <v>19200000</v>
      </c>
    </row>
    <row r="104" spans="2:9" ht="40.15" customHeight="1" x14ac:dyDescent="0.25">
      <c r="B104" s="3"/>
      <c r="C104" s="3" t="s">
        <v>73</v>
      </c>
      <c r="D104" s="39">
        <f>C96*2</f>
        <v>4</v>
      </c>
      <c r="E104" s="7" t="s">
        <v>4</v>
      </c>
      <c r="F104" s="47">
        <v>3700000</v>
      </c>
      <c r="G104" s="8">
        <f>F104*D104</f>
        <v>14800000</v>
      </c>
    </row>
    <row r="105" spans="2:9" ht="40.15" customHeight="1" x14ac:dyDescent="0.25">
      <c r="B105" s="3"/>
      <c r="C105" s="3" t="s">
        <v>11</v>
      </c>
      <c r="D105" s="6">
        <f>((H97*D97)+(H98*D98)+(H99*D99)+(H100*D100))</f>
        <v>46.75</v>
      </c>
      <c r="E105" s="9" t="s">
        <v>12</v>
      </c>
      <c r="F105" s="47">
        <f>'S4'!D12</f>
        <v>450000</v>
      </c>
      <c r="G105" s="8">
        <f t="shared" si="9"/>
        <v>21037500</v>
      </c>
    </row>
    <row r="106" spans="2:9" ht="40.15" customHeight="1" x14ac:dyDescent="0.25">
      <c r="B106" s="10"/>
      <c r="C106" s="10"/>
      <c r="D106" s="197">
        <f>SUM(G97:G105)</f>
        <v>197087500</v>
      </c>
      <c r="E106" s="198"/>
      <c r="F106" s="198"/>
      <c r="G106" s="199"/>
    </row>
    <row r="109" spans="2:9" ht="21" x14ac:dyDescent="0.25">
      <c r="B109" s="10"/>
      <c r="C109" s="10"/>
      <c r="D109" s="197">
        <f>D106-G97-G104-(0.4*G105)</f>
        <v>71022500</v>
      </c>
      <c r="E109" s="198"/>
      <c r="F109" s="198"/>
      <c r="G109" s="199"/>
    </row>
  </sheetData>
  <mergeCells count="36">
    <mergeCell ref="D92:G92"/>
    <mergeCell ref="D95:F95"/>
    <mergeCell ref="D106:G106"/>
    <mergeCell ref="D109:G109"/>
    <mergeCell ref="D49:G49"/>
    <mergeCell ref="D52:F52"/>
    <mergeCell ref="D66:G66"/>
    <mergeCell ref="D69:F69"/>
    <mergeCell ref="D78:G78"/>
    <mergeCell ref="D81:F81"/>
    <mergeCell ref="K15:K17"/>
    <mergeCell ref="H18:I18"/>
    <mergeCell ref="K19:K21"/>
    <mergeCell ref="D23:F23"/>
    <mergeCell ref="D37:G37"/>
    <mergeCell ref="D39:F39"/>
    <mergeCell ref="B10:B13"/>
    <mergeCell ref="D10:E10"/>
    <mergeCell ref="D11:E11"/>
    <mergeCell ref="D12:E12"/>
    <mergeCell ref="D13:E13"/>
    <mergeCell ref="D15:F15"/>
    <mergeCell ref="B6:B9"/>
    <mergeCell ref="D6:E6"/>
    <mergeCell ref="D7:E7"/>
    <mergeCell ref="D8:E8"/>
    <mergeCell ref="H8:J8"/>
    <mergeCell ref="D9:E9"/>
    <mergeCell ref="B2:B5"/>
    <mergeCell ref="D2:E2"/>
    <mergeCell ref="H2:I2"/>
    <mergeCell ref="D3:E3"/>
    <mergeCell ref="H3:I3"/>
    <mergeCell ref="D4:E4"/>
    <mergeCell ref="H4:I4"/>
    <mergeCell ref="D5:E5"/>
  </mergeCells>
  <pageMargins left="0.7" right="0.7" top="0.75" bottom="0.75" header="0.3" footer="0.3"/>
  <pageSetup orientation="portrait" horizontalDpi="1200" verticalDpi="1200" r:id="rId1"/>
  <drawing r:id="rId2"/>
  <legacyDrawing r:id="rId3"/>
  <oleObjects>
    <mc:AlternateContent xmlns:mc="http://schemas.openxmlformats.org/markup-compatibility/2006">
      <mc:Choice Requires="x14">
        <oleObject progId="AutoCAD.Drawing.24" shapeId="25601" r:id="rId4">
          <objectPr defaultSize="0" autoPict="0" r:id="rId5">
            <anchor moveWithCells="1" sizeWithCells="1">
              <from>
                <xdr:col>1</xdr:col>
                <xdr:colOff>247650</xdr:colOff>
                <xdr:row>24</xdr:row>
                <xdr:rowOff>47625</xdr:rowOff>
              </from>
              <to>
                <xdr:col>1</xdr:col>
                <xdr:colOff>1485900</xdr:colOff>
                <xdr:row>24</xdr:row>
                <xdr:rowOff>476250</xdr:rowOff>
              </to>
            </anchor>
          </objectPr>
        </oleObject>
      </mc:Choice>
      <mc:Fallback>
        <oleObject progId="AutoCAD.Drawing.24" shapeId="25601" r:id="rId4"/>
      </mc:Fallback>
    </mc:AlternateContent>
    <mc:AlternateContent xmlns:mc="http://schemas.openxmlformats.org/markup-compatibility/2006">
      <mc:Choice Requires="x14">
        <oleObject progId="AutoCAD.Drawing.24" shapeId="25602" r:id="rId6">
          <objectPr defaultSize="0" autoPict="0" r:id="rId7">
            <anchor moveWithCells="1" sizeWithCells="1">
              <from>
                <xdr:col>1</xdr:col>
                <xdr:colOff>609600</xdr:colOff>
                <xdr:row>27</xdr:row>
                <xdr:rowOff>95250</xdr:rowOff>
              </from>
              <to>
                <xdr:col>1</xdr:col>
                <xdr:colOff>1143000</xdr:colOff>
                <xdr:row>27</xdr:row>
                <xdr:rowOff>438150</xdr:rowOff>
              </to>
            </anchor>
          </objectPr>
        </oleObject>
      </mc:Choice>
      <mc:Fallback>
        <oleObject progId="AutoCAD.Drawing.24" shapeId="25602" r:id="rId6"/>
      </mc:Fallback>
    </mc:AlternateContent>
    <mc:AlternateContent xmlns:mc="http://schemas.openxmlformats.org/markup-compatibility/2006">
      <mc:Choice Requires="x14">
        <oleObject progId="AutoCAD.Drawing.24" shapeId="25603" r:id="rId8">
          <objectPr defaultSize="0" autoPict="0" r:id="rId9">
            <anchor moveWithCells="1" sizeWithCells="1">
              <from>
                <xdr:col>1</xdr:col>
                <xdr:colOff>628650</xdr:colOff>
                <xdr:row>29</xdr:row>
                <xdr:rowOff>57150</xdr:rowOff>
              </from>
              <to>
                <xdr:col>1</xdr:col>
                <xdr:colOff>1123950</xdr:colOff>
                <xdr:row>29</xdr:row>
                <xdr:rowOff>438150</xdr:rowOff>
              </to>
            </anchor>
          </objectPr>
        </oleObject>
      </mc:Choice>
      <mc:Fallback>
        <oleObject progId="AutoCAD.Drawing.24" shapeId="25603" r:id="rId8"/>
      </mc:Fallback>
    </mc:AlternateContent>
    <mc:AlternateContent xmlns:mc="http://schemas.openxmlformats.org/markup-compatibility/2006">
      <mc:Choice Requires="x14">
        <oleObject progId="AutoCAD.Drawing.24" shapeId="25604" r:id="rId10">
          <objectPr defaultSize="0" autoPict="0" r:id="rId11">
            <anchor moveWithCells="1" sizeWithCells="1">
              <from>
                <xdr:col>1</xdr:col>
                <xdr:colOff>628650</xdr:colOff>
                <xdr:row>30</xdr:row>
                <xdr:rowOff>28575</xdr:rowOff>
              </from>
              <to>
                <xdr:col>1</xdr:col>
                <xdr:colOff>1047750</xdr:colOff>
                <xdr:row>30</xdr:row>
                <xdr:rowOff>476250</xdr:rowOff>
              </to>
            </anchor>
          </objectPr>
        </oleObject>
      </mc:Choice>
      <mc:Fallback>
        <oleObject progId="AutoCAD.Drawing.24" shapeId="25604" r:id="rId10"/>
      </mc:Fallback>
    </mc:AlternateContent>
    <mc:AlternateContent xmlns:mc="http://schemas.openxmlformats.org/markup-compatibility/2006">
      <mc:Choice Requires="x14">
        <oleObject progId="AutoCAD.Drawing.24" shapeId="25605" r:id="rId12">
          <objectPr defaultSize="0" autoPict="0" r:id="rId13">
            <anchor moveWithCells="1" sizeWithCells="1">
              <from>
                <xdr:col>1</xdr:col>
                <xdr:colOff>742950</xdr:colOff>
                <xdr:row>39</xdr:row>
                <xdr:rowOff>171450</xdr:rowOff>
              </from>
              <to>
                <xdr:col>1</xdr:col>
                <xdr:colOff>1047750</xdr:colOff>
                <xdr:row>40</xdr:row>
                <xdr:rowOff>504825</xdr:rowOff>
              </to>
            </anchor>
          </objectPr>
        </oleObject>
      </mc:Choice>
      <mc:Fallback>
        <oleObject progId="AutoCAD.Drawing.24" shapeId="25605" r:id="rId12"/>
      </mc:Fallback>
    </mc:AlternateContent>
    <mc:AlternateContent xmlns:mc="http://schemas.openxmlformats.org/markup-compatibility/2006">
      <mc:Choice Requires="x14">
        <oleObject progId="AutoCAD.Drawing.24" shapeId="25606" r:id="rId14">
          <objectPr defaultSize="0" autoPict="0" r:id="rId15">
            <anchor moveWithCells="1" sizeWithCells="1">
              <from>
                <xdr:col>1</xdr:col>
                <xdr:colOff>704850</xdr:colOff>
                <xdr:row>42</xdr:row>
                <xdr:rowOff>38100</xdr:rowOff>
              </from>
              <to>
                <xdr:col>1</xdr:col>
                <xdr:colOff>1104900</xdr:colOff>
                <xdr:row>42</xdr:row>
                <xdr:rowOff>504825</xdr:rowOff>
              </to>
            </anchor>
          </objectPr>
        </oleObject>
      </mc:Choice>
      <mc:Fallback>
        <oleObject progId="AutoCAD.Drawing.24" shapeId="25606" r:id="rId14"/>
      </mc:Fallback>
    </mc:AlternateContent>
    <mc:AlternateContent xmlns:mc="http://schemas.openxmlformats.org/markup-compatibility/2006">
      <mc:Choice Requires="x14">
        <oleObject progId="AutoCAD.Drawing.24" shapeId="25607" r:id="rId16">
          <objectPr defaultSize="0" autoPict="0" r:id="rId17">
            <anchor moveWithCells="1" sizeWithCells="1">
              <from>
                <xdr:col>1</xdr:col>
                <xdr:colOff>704850</xdr:colOff>
                <xdr:row>52</xdr:row>
                <xdr:rowOff>180975</xdr:rowOff>
              </from>
              <to>
                <xdr:col>1</xdr:col>
                <xdr:colOff>1066800</xdr:colOff>
                <xdr:row>54</xdr:row>
                <xdr:rowOff>57150</xdr:rowOff>
              </to>
            </anchor>
          </objectPr>
        </oleObject>
      </mc:Choice>
      <mc:Fallback>
        <oleObject progId="AutoCAD.Drawing.24" shapeId="25607" r:id="rId16"/>
      </mc:Fallback>
    </mc:AlternateContent>
    <mc:AlternateContent xmlns:mc="http://schemas.openxmlformats.org/markup-compatibility/2006">
      <mc:Choice Requires="x14">
        <oleObject progId="AutoCAD.Drawing.24" shapeId="25608" r:id="rId18">
          <objectPr defaultSize="0" autoPict="0" r:id="rId19">
            <anchor moveWithCells="1" sizeWithCells="1">
              <from>
                <xdr:col>1</xdr:col>
                <xdr:colOff>647700</xdr:colOff>
                <xdr:row>54</xdr:row>
                <xdr:rowOff>66675</xdr:rowOff>
              </from>
              <to>
                <xdr:col>1</xdr:col>
                <xdr:colOff>1038225</xdr:colOff>
                <xdr:row>54</xdr:row>
                <xdr:rowOff>485775</xdr:rowOff>
              </to>
            </anchor>
          </objectPr>
        </oleObject>
      </mc:Choice>
      <mc:Fallback>
        <oleObject progId="AutoCAD.Drawing.24" shapeId="25608" r:id="rId18"/>
      </mc:Fallback>
    </mc:AlternateContent>
    <mc:AlternateContent xmlns:mc="http://schemas.openxmlformats.org/markup-compatibility/2006">
      <mc:Choice Requires="x14">
        <oleObject progId="AutoCAD.Drawing.24" shapeId="25609" r:id="rId20">
          <objectPr defaultSize="0" autoPict="0" r:id="rId7">
            <anchor moveWithCells="1" sizeWithCells="1">
              <from>
                <xdr:col>1</xdr:col>
                <xdr:colOff>609600</xdr:colOff>
                <xdr:row>57</xdr:row>
                <xdr:rowOff>95250</xdr:rowOff>
              </from>
              <to>
                <xdr:col>1</xdr:col>
                <xdr:colOff>1143000</xdr:colOff>
                <xdr:row>57</xdr:row>
                <xdr:rowOff>438150</xdr:rowOff>
              </to>
            </anchor>
          </objectPr>
        </oleObject>
      </mc:Choice>
      <mc:Fallback>
        <oleObject progId="AutoCAD.Drawing.24" shapeId="25609" r:id="rId20"/>
      </mc:Fallback>
    </mc:AlternateContent>
    <mc:AlternateContent xmlns:mc="http://schemas.openxmlformats.org/markup-compatibility/2006">
      <mc:Choice Requires="x14">
        <oleObject progId="AutoCAD.Drawing.24" shapeId="25610" r:id="rId21">
          <objectPr defaultSize="0" autoPict="0" r:id="rId9">
            <anchor moveWithCells="1" sizeWithCells="1">
              <from>
                <xdr:col>1</xdr:col>
                <xdr:colOff>628650</xdr:colOff>
                <xdr:row>58</xdr:row>
                <xdr:rowOff>57150</xdr:rowOff>
              </from>
              <to>
                <xdr:col>1</xdr:col>
                <xdr:colOff>1123950</xdr:colOff>
                <xdr:row>58</xdr:row>
                <xdr:rowOff>438150</xdr:rowOff>
              </to>
            </anchor>
          </objectPr>
        </oleObject>
      </mc:Choice>
      <mc:Fallback>
        <oleObject progId="AutoCAD.Drawing.24" shapeId="25610" r:id="rId21"/>
      </mc:Fallback>
    </mc:AlternateContent>
    <mc:AlternateContent xmlns:mc="http://schemas.openxmlformats.org/markup-compatibility/2006">
      <mc:Choice Requires="x14">
        <oleObject progId="AutoCAD.Drawing.24" shapeId="25611" r:id="rId22">
          <objectPr defaultSize="0" autoPict="0" r:id="rId11">
            <anchor moveWithCells="1" sizeWithCells="1">
              <from>
                <xdr:col>1</xdr:col>
                <xdr:colOff>628650</xdr:colOff>
                <xdr:row>60</xdr:row>
                <xdr:rowOff>28575</xdr:rowOff>
              </from>
              <to>
                <xdr:col>1</xdr:col>
                <xdr:colOff>1047750</xdr:colOff>
                <xdr:row>60</xdr:row>
                <xdr:rowOff>476250</xdr:rowOff>
              </to>
            </anchor>
          </objectPr>
        </oleObject>
      </mc:Choice>
      <mc:Fallback>
        <oleObject progId="AutoCAD.Drawing.24" shapeId="25611" r:id="rId22"/>
      </mc:Fallback>
    </mc:AlternateContent>
    <mc:AlternateContent xmlns:mc="http://schemas.openxmlformats.org/markup-compatibility/2006">
      <mc:Choice Requires="x14">
        <oleObject progId="AutoCAD.Drawing.24" shapeId="25612" r:id="rId23">
          <objectPr defaultSize="0" autoPict="0" r:id="rId17">
            <anchor moveWithCells="1" sizeWithCells="1">
              <from>
                <xdr:col>1</xdr:col>
                <xdr:colOff>704850</xdr:colOff>
                <xdr:row>69</xdr:row>
                <xdr:rowOff>180975</xdr:rowOff>
              </from>
              <to>
                <xdr:col>1</xdr:col>
                <xdr:colOff>1066800</xdr:colOff>
                <xdr:row>71</xdr:row>
                <xdr:rowOff>57150</xdr:rowOff>
              </to>
            </anchor>
          </objectPr>
        </oleObject>
      </mc:Choice>
      <mc:Fallback>
        <oleObject progId="AutoCAD.Drawing.24" shapeId="25612" r:id="rId23"/>
      </mc:Fallback>
    </mc:AlternateContent>
    <mc:AlternateContent xmlns:mc="http://schemas.openxmlformats.org/markup-compatibility/2006">
      <mc:Choice Requires="x14">
        <oleObject progId="AutoCAD.Drawing.24" shapeId="25613" r:id="rId24">
          <objectPr defaultSize="0" autoPict="0" r:id="rId25">
            <anchor moveWithCells="1" sizeWithCells="1">
              <from>
                <xdr:col>1</xdr:col>
                <xdr:colOff>628650</xdr:colOff>
                <xdr:row>71</xdr:row>
                <xdr:rowOff>47625</xdr:rowOff>
              </from>
              <to>
                <xdr:col>1</xdr:col>
                <xdr:colOff>1047750</xdr:colOff>
                <xdr:row>71</xdr:row>
                <xdr:rowOff>476250</xdr:rowOff>
              </to>
            </anchor>
          </objectPr>
        </oleObject>
      </mc:Choice>
      <mc:Fallback>
        <oleObject progId="AutoCAD.Drawing.24" shapeId="25613" r:id="rId24"/>
      </mc:Fallback>
    </mc:AlternateContent>
    <mc:AlternateContent xmlns:mc="http://schemas.openxmlformats.org/markup-compatibility/2006">
      <mc:Choice Requires="x14">
        <oleObject progId="AutoCAD.Drawing.24" shapeId="25614" r:id="rId26">
          <objectPr defaultSize="0" autoPict="0" r:id="rId27">
            <anchor moveWithCells="1" sizeWithCells="1">
              <from>
                <xdr:col>1</xdr:col>
                <xdr:colOff>438150</xdr:colOff>
                <xdr:row>72</xdr:row>
                <xdr:rowOff>0</xdr:rowOff>
              </from>
              <to>
                <xdr:col>1</xdr:col>
                <xdr:colOff>1200150</xdr:colOff>
                <xdr:row>72</xdr:row>
                <xdr:rowOff>466725</xdr:rowOff>
              </to>
            </anchor>
          </objectPr>
        </oleObject>
      </mc:Choice>
      <mc:Fallback>
        <oleObject progId="AutoCAD.Drawing.24" shapeId="25614" r:id="rId26"/>
      </mc:Fallback>
    </mc:AlternateContent>
    <mc:AlternateContent xmlns:mc="http://schemas.openxmlformats.org/markup-compatibility/2006">
      <mc:Choice Requires="x14">
        <oleObject progId="AutoCAD.Drawing.24" shapeId="25615" r:id="rId28">
          <objectPr defaultSize="0" autoPict="0" r:id="rId29">
            <anchor moveWithCells="1" sizeWithCells="1">
              <from>
                <xdr:col>1</xdr:col>
                <xdr:colOff>161925</xdr:colOff>
                <xdr:row>82</xdr:row>
                <xdr:rowOff>114300</xdr:rowOff>
              </from>
              <to>
                <xdr:col>1</xdr:col>
                <xdr:colOff>1390650</xdr:colOff>
                <xdr:row>82</xdr:row>
                <xdr:rowOff>438150</xdr:rowOff>
              </to>
            </anchor>
          </objectPr>
        </oleObject>
      </mc:Choice>
      <mc:Fallback>
        <oleObject progId="AutoCAD.Drawing.24" shapeId="25615" r:id="rId28"/>
      </mc:Fallback>
    </mc:AlternateContent>
    <mc:AlternateContent xmlns:mc="http://schemas.openxmlformats.org/markup-compatibility/2006">
      <mc:Choice Requires="x14">
        <oleObject progId="AutoCAD.Drawing.24" shapeId="25616" r:id="rId30">
          <objectPr defaultSize="0" autoPict="0" r:id="rId31">
            <anchor moveWithCells="1" sizeWithCells="1">
              <from>
                <xdr:col>1</xdr:col>
                <xdr:colOff>314325</xdr:colOff>
                <xdr:row>83</xdr:row>
                <xdr:rowOff>28575</xdr:rowOff>
              </from>
              <to>
                <xdr:col>1</xdr:col>
                <xdr:colOff>1314450</xdr:colOff>
                <xdr:row>83</xdr:row>
                <xdr:rowOff>447675</xdr:rowOff>
              </to>
            </anchor>
          </objectPr>
        </oleObject>
      </mc:Choice>
      <mc:Fallback>
        <oleObject progId="AutoCAD.Drawing.24" shapeId="25616" r:id="rId30"/>
      </mc:Fallback>
    </mc:AlternateContent>
    <mc:AlternateContent xmlns:mc="http://schemas.openxmlformats.org/markup-compatibility/2006">
      <mc:Choice Requires="x14">
        <oleObject progId="AutoCAD.Drawing.24" shapeId="25617" r:id="rId32">
          <objectPr defaultSize="0" autoPict="0" r:id="rId33">
            <anchor moveWithCells="1" sizeWithCells="1">
              <from>
                <xdr:col>1</xdr:col>
                <xdr:colOff>438150</xdr:colOff>
                <xdr:row>84</xdr:row>
                <xdr:rowOff>38100</xdr:rowOff>
              </from>
              <to>
                <xdr:col>1</xdr:col>
                <xdr:colOff>1181100</xdr:colOff>
                <xdr:row>85</xdr:row>
                <xdr:rowOff>0</xdr:rowOff>
              </to>
            </anchor>
          </objectPr>
        </oleObject>
      </mc:Choice>
      <mc:Fallback>
        <oleObject progId="AutoCAD.Drawing.24" shapeId="25617" r:id="rId32"/>
      </mc:Fallback>
    </mc:AlternateContent>
    <mc:AlternateContent xmlns:mc="http://schemas.openxmlformats.org/markup-compatibility/2006">
      <mc:Choice Requires="x14">
        <oleObject progId="AutoCAD.Drawing.24" shapeId="25618" r:id="rId34">
          <objectPr defaultSize="0" autoPict="0" r:id="rId35">
            <anchor moveWithCells="1" sizeWithCells="1">
              <from>
                <xdr:col>1</xdr:col>
                <xdr:colOff>666750</xdr:colOff>
                <xdr:row>85</xdr:row>
                <xdr:rowOff>57150</xdr:rowOff>
              </from>
              <to>
                <xdr:col>1</xdr:col>
                <xdr:colOff>971550</xdr:colOff>
                <xdr:row>85</xdr:row>
                <xdr:rowOff>485775</xdr:rowOff>
              </to>
            </anchor>
          </objectPr>
        </oleObject>
      </mc:Choice>
      <mc:Fallback>
        <oleObject progId="AutoCAD.Drawing.24" shapeId="25618" r:id="rId34"/>
      </mc:Fallback>
    </mc:AlternateContent>
    <mc:AlternateContent xmlns:mc="http://schemas.openxmlformats.org/markup-compatibility/2006">
      <mc:Choice Requires="x14">
        <oleObject progId="AutoCAD.Drawing.24" shapeId="25619" r:id="rId36">
          <objectPr defaultSize="0" autoPict="0" r:id="rId37">
            <anchor moveWithCells="1" sizeWithCells="1">
              <from>
                <xdr:col>1</xdr:col>
                <xdr:colOff>447675</xdr:colOff>
                <xdr:row>86</xdr:row>
                <xdr:rowOff>57150</xdr:rowOff>
              </from>
              <to>
                <xdr:col>1</xdr:col>
                <xdr:colOff>1123950</xdr:colOff>
                <xdr:row>87</xdr:row>
                <xdr:rowOff>0</xdr:rowOff>
              </to>
            </anchor>
          </objectPr>
        </oleObject>
      </mc:Choice>
      <mc:Fallback>
        <oleObject progId="AutoCAD.Drawing.24" shapeId="25619" r:id="rId36"/>
      </mc:Fallback>
    </mc:AlternateContent>
    <mc:AlternateContent xmlns:mc="http://schemas.openxmlformats.org/markup-compatibility/2006">
      <mc:Choice Requires="x14">
        <oleObject progId="AutoCAD.Drawing.24" shapeId="25620" r:id="rId38">
          <objectPr defaultSize="0" autoPict="0" r:id="rId11">
            <anchor moveWithCells="1" sizeWithCells="1">
              <from>
                <xdr:col>1</xdr:col>
                <xdr:colOff>590550</xdr:colOff>
                <xdr:row>87</xdr:row>
                <xdr:rowOff>38100</xdr:rowOff>
              </from>
              <to>
                <xdr:col>1</xdr:col>
                <xdr:colOff>990600</xdr:colOff>
                <xdr:row>87</xdr:row>
                <xdr:rowOff>485775</xdr:rowOff>
              </to>
            </anchor>
          </objectPr>
        </oleObject>
      </mc:Choice>
      <mc:Fallback>
        <oleObject progId="AutoCAD.Drawing.24" shapeId="25620" r:id="rId38"/>
      </mc:Fallback>
    </mc:AlternateContent>
    <mc:AlternateContent xmlns:mc="http://schemas.openxmlformats.org/markup-compatibility/2006">
      <mc:Choice Requires="x14">
        <oleObject progId="AutoCAD.Drawing.24" shapeId="25621" r:id="rId39">
          <objectPr defaultSize="0" autoPict="0" r:id="rId40">
            <anchor moveWithCells="1" sizeWithCells="1">
              <from>
                <xdr:col>1</xdr:col>
                <xdr:colOff>323850</xdr:colOff>
                <xdr:row>89</xdr:row>
                <xdr:rowOff>28575</xdr:rowOff>
              </from>
              <to>
                <xdr:col>1</xdr:col>
                <xdr:colOff>1409700</xdr:colOff>
                <xdr:row>89</xdr:row>
                <xdr:rowOff>457200</xdr:rowOff>
              </to>
            </anchor>
          </objectPr>
        </oleObject>
      </mc:Choice>
      <mc:Fallback>
        <oleObject progId="AutoCAD.Drawing.24" shapeId="25621" r:id="rId39"/>
      </mc:Fallback>
    </mc:AlternateContent>
    <mc:AlternateContent xmlns:mc="http://schemas.openxmlformats.org/markup-compatibility/2006">
      <mc:Choice Requires="x14">
        <oleObject progId="AutoCAD.Drawing.24" shapeId="25622" r:id="rId41">
          <objectPr defaultSize="0" autoPict="0" r:id="rId42">
            <anchor moveWithCells="1" sizeWithCells="1">
              <from>
                <xdr:col>1</xdr:col>
                <xdr:colOff>657225</xdr:colOff>
                <xdr:row>97</xdr:row>
                <xdr:rowOff>47625</xdr:rowOff>
              </from>
              <to>
                <xdr:col>1</xdr:col>
                <xdr:colOff>1019175</xdr:colOff>
                <xdr:row>97</xdr:row>
                <xdr:rowOff>447675</xdr:rowOff>
              </to>
            </anchor>
          </objectPr>
        </oleObject>
      </mc:Choice>
      <mc:Fallback>
        <oleObject progId="AutoCAD.Drawing.24" shapeId="25622" r:id="rId41"/>
      </mc:Fallback>
    </mc:AlternateContent>
    <mc:AlternateContent xmlns:mc="http://schemas.openxmlformats.org/markup-compatibility/2006">
      <mc:Choice Requires="x14">
        <oleObject progId="AutoCAD.Drawing.24" shapeId="25623" r:id="rId43">
          <objectPr defaultSize="0" autoPict="0" r:id="rId44">
            <anchor moveWithCells="1" sizeWithCells="1">
              <from>
                <xdr:col>1</xdr:col>
                <xdr:colOff>666750</xdr:colOff>
                <xdr:row>96</xdr:row>
                <xdr:rowOff>57150</xdr:rowOff>
              </from>
              <to>
                <xdr:col>1</xdr:col>
                <xdr:colOff>1066800</xdr:colOff>
                <xdr:row>96</xdr:row>
                <xdr:rowOff>457200</xdr:rowOff>
              </to>
            </anchor>
          </objectPr>
        </oleObject>
      </mc:Choice>
      <mc:Fallback>
        <oleObject progId="AutoCAD.Drawing.24" shapeId="25623" r:id="rId43"/>
      </mc:Fallback>
    </mc:AlternateContent>
    <mc:AlternateContent xmlns:mc="http://schemas.openxmlformats.org/markup-compatibility/2006">
      <mc:Choice Requires="x14">
        <oleObject progId="AutoCAD.Drawing.24" shapeId="25624" r:id="rId45">
          <objectPr defaultSize="0" autoPict="0" r:id="rId46">
            <anchor moveWithCells="1" sizeWithCells="1">
              <from>
                <xdr:col>1</xdr:col>
                <xdr:colOff>323850</xdr:colOff>
                <xdr:row>98</xdr:row>
                <xdr:rowOff>190500</xdr:rowOff>
              </from>
              <to>
                <xdr:col>1</xdr:col>
                <xdr:colOff>1362075</xdr:colOff>
                <xdr:row>98</xdr:row>
                <xdr:rowOff>361950</xdr:rowOff>
              </to>
            </anchor>
          </objectPr>
        </oleObject>
      </mc:Choice>
      <mc:Fallback>
        <oleObject progId="AutoCAD.Drawing.24" shapeId="25624" r:id="rId45"/>
      </mc:Fallback>
    </mc:AlternateContent>
    <mc:AlternateContent xmlns:mc="http://schemas.openxmlformats.org/markup-compatibility/2006">
      <mc:Choice Requires="x14">
        <oleObject progId="AutoCAD.Drawing.24" shapeId="25625" r:id="rId47">
          <objectPr defaultSize="0" autoPict="0" r:id="rId48">
            <anchor moveWithCells="1" sizeWithCells="1">
              <from>
                <xdr:col>1</xdr:col>
                <xdr:colOff>704850</xdr:colOff>
                <xdr:row>100</xdr:row>
                <xdr:rowOff>19050</xdr:rowOff>
              </from>
              <to>
                <xdr:col>1</xdr:col>
                <xdr:colOff>1047750</xdr:colOff>
                <xdr:row>100</xdr:row>
                <xdr:rowOff>476250</xdr:rowOff>
              </to>
            </anchor>
          </objectPr>
        </oleObject>
      </mc:Choice>
      <mc:Fallback>
        <oleObject progId="AutoCAD.Drawing.24" shapeId="25625" r:id="rId47"/>
      </mc:Fallback>
    </mc:AlternateContent>
    <mc:AlternateContent xmlns:mc="http://schemas.openxmlformats.org/markup-compatibility/2006">
      <mc:Choice Requires="x14">
        <oleObject progId="AutoCAD.Drawing.24" shapeId="25626" r:id="rId49">
          <objectPr defaultSize="0" autoPict="0" r:id="rId50">
            <anchor moveWithCells="1" sizeWithCells="1">
              <from>
                <xdr:col>1</xdr:col>
                <xdr:colOff>657225</xdr:colOff>
                <xdr:row>102</xdr:row>
                <xdr:rowOff>0</xdr:rowOff>
              </from>
              <to>
                <xdr:col>1</xdr:col>
                <xdr:colOff>1095375</xdr:colOff>
                <xdr:row>102</xdr:row>
                <xdr:rowOff>514350</xdr:rowOff>
              </to>
            </anchor>
          </objectPr>
        </oleObject>
      </mc:Choice>
      <mc:Fallback>
        <oleObject progId="AutoCAD.Drawing.24" shapeId="25626" r:id="rId49"/>
      </mc:Fallback>
    </mc:AlternateContent>
    <mc:AlternateContent xmlns:mc="http://schemas.openxmlformats.org/markup-compatibility/2006">
      <mc:Choice Requires="x14">
        <oleObject progId="AutoCAD.Drawing.24" shapeId="25627" r:id="rId51">
          <objectPr defaultSize="0" autoPict="0" r:id="rId52">
            <anchor moveWithCells="1" sizeWithCells="1">
              <from>
                <xdr:col>1</xdr:col>
                <xdr:colOff>476250</xdr:colOff>
                <xdr:row>101</xdr:row>
                <xdr:rowOff>9525</xdr:rowOff>
              </from>
              <to>
                <xdr:col>1</xdr:col>
                <xdr:colOff>1247775</xdr:colOff>
                <xdr:row>101</xdr:row>
                <xdr:rowOff>495300</xdr:rowOff>
              </to>
            </anchor>
          </objectPr>
        </oleObject>
      </mc:Choice>
      <mc:Fallback>
        <oleObject progId="AutoCAD.Drawing.24" shapeId="25627" r:id="rId51"/>
      </mc:Fallback>
    </mc:AlternateContent>
    <mc:AlternateContent xmlns:mc="http://schemas.openxmlformats.org/markup-compatibility/2006">
      <mc:Choice Requires="x14">
        <oleObject progId="AutoCAD.Drawing.24" shapeId="25628" r:id="rId53">
          <objectPr defaultSize="0" autoPict="0" r:id="rId54">
            <anchor moveWithCells="1" sizeWithCells="1">
              <from>
                <xdr:col>1</xdr:col>
                <xdr:colOff>409575</xdr:colOff>
                <xdr:row>99</xdr:row>
                <xdr:rowOff>19050</xdr:rowOff>
              </from>
              <to>
                <xdr:col>1</xdr:col>
                <xdr:colOff>1162050</xdr:colOff>
                <xdr:row>99</xdr:row>
                <xdr:rowOff>485775</xdr:rowOff>
              </to>
            </anchor>
          </objectPr>
        </oleObject>
      </mc:Choice>
      <mc:Fallback>
        <oleObject progId="AutoCAD.Drawing.24" shapeId="25628" r:id="rId53"/>
      </mc:Fallback>
    </mc:AlternateContent>
    <mc:AlternateContent xmlns:mc="http://schemas.openxmlformats.org/markup-compatibility/2006">
      <mc:Choice Requires="x14">
        <oleObject progId="AutoCAD.Drawing.24" shapeId="25629" r:id="rId55">
          <objectPr defaultSize="0" autoPict="0" r:id="rId27">
            <anchor moveWithCells="1" sizeWithCells="1">
              <from>
                <xdr:col>1</xdr:col>
                <xdr:colOff>438150</xdr:colOff>
                <xdr:row>88</xdr:row>
                <xdr:rowOff>0</xdr:rowOff>
              </from>
              <to>
                <xdr:col>1</xdr:col>
                <xdr:colOff>1200150</xdr:colOff>
                <xdr:row>88</xdr:row>
                <xdr:rowOff>466725</xdr:rowOff>
              </to>
            </anchor>
          </objectPr>
        </oleObject>
      </mc:Choice>
      <mc:Fallback>
        <oleObject progId="AutoCAD.Drawing.24" shapeId="25629" r:id="rId55"/>
      </mc:Fallback>
    </mc:AlternateContent>
  </oleObjec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084D37-9A72-496D-BA41-9DF2FDCD3B99}">
  <dimension ref="A1:AC49"/>
  <sheetViews>
    <sheetView rightToLeft="1" zoomScaleNormal="100" zoomScaleSheetLayoutView="100" workbookViewId="0">
      <selection activeCell="D8" sqref="D8"/>
    </sheetView>
  </sheetViews>
  <sheetFormatPr defaultRowHeight="15" x14ac:dyDescent="0.25"/>
  <cols>
    <col min="1" max="1" width="2.5703125" customWidth="1"/>
    <col min="2" max="2" width="2.7109375" style="24" customWidth="1"/>
    <col min="3" max="3" width="16.140625" style="24" customWidth="1"/>
    <col min="4" max="4" width="28.5703125" style="35" customWidth="1"/>
    <col min="5" max="5" width="29.140625" style="36" customWidth="1"/>
    <col min="6" max="6" width="21.5703125" style="24" customWidth="1"/>
    <col min="7" max="7" width="2.7109375" style="36" customWidth="1"/>
    <col min="8" max="8" width="4.28515625" customWidth="1"/>
    <col min="11" max="11" width="14.28515625" customWidth="1"/>
  </cols>
  <sheetData>
    <row r="1" spans="1:29" ht="22.5" customHeight="1" x14ac:dyDescent="0.25">
      <c r="A1" s="25"/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  <c r="AA1" s="11"/>
      <c r="AB1" s="11"/>
      <c r="AC1" s="11"/>
    </row>
    <row r="2" spans="1:29" ht="19.899999999999999" customHeight="1" x14ac:dyDescent="0.25">
      <c r="A2" s="25"/>
      <c r="B2" s="12"/>
      <c r="C2" s="12"/>
      <c r="D2" s="13"/>
      <c r="E2" s="14"/>
      <c r="F2" s="12"/>
      <c r="G2" s="15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  <c r="AB2" s="11"/>
      <c r="AC2" s="11"/>
    </row>
    <row r="3" spans="1:29" ht="25.15" customHeight="1" x14ac:dyDescent="0.25">
      <c r="A3" s="25"/>
      <c r="B3" s="16"/>
      <c r="C3" s="118" t="s">
        <v>82</v>
      </c>
      <c r="D3" s="110">
        <f>(Invoice!C16)/100</f>
        <v>0</v>
      </c>
      <c r="E3" s="189" t="str">
        <f>IF(AND(D3&lt;=6,D4&gt;8),"NOT IN RANGE",IF(AND(D3&gt;6,D4&lt;=8),"NOT IN RANGE","CORRECT RANGE"))</f>
        <v>CORRECT RANGE</v>
      </c>
      <c r="F3" s="189"/>
      <c r="G3" s="15"/>
      <c r="H3" s="11"/>
      <c r="I3" s="41">
        <f>K3</f>
        <v>1.1216953130392766E-2</v>
      </c>
      <c r="J3" s="25" t="s">
        <v>78</v>
      </c>
      <c r="K3" s="41">
        <f>IF(AND($D$6="ROOF LEVEL"),'D5'!F2,IF(AND($D$6="SAYANEH"),'D5'!F6,IF(AND($D$6="PAVLION"),'D5'!F10,0)))</f>
        <v>1.1216953130392766E-2</v>
      </c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  <c r="AB3" s="11"/>
      <c r="AC3" s="11"/>
    </row>
    <row r="4" spans="1:29" ht="25.15" customHeight="1" x14ac:dyDescent="0.25">
      <c r="A4" s="25"/>
      <c r="B4" s="16"/>
      <c r="C4" s="118" t="s">
        <v>16</v>
      </c>
      <c r="D4" s="110">
        <f>(Invoice!D16)/100</f>
        <v>0</v>
      </c>
      <c r="E4" s="189"/>
      <c r="F4" s="189"/>
      <c r="G4" s="15"/>
      <c r="H4" s="11"/>
      <c r="I4" s="41">
        <f t="shared" ref="I4:I6" si="0">K4</f>
        <v>0.67301718782356601</v>
      </c>
      <c r="J4" s="25" t="s">
        <v>79</v>
      </c>
      <c r="K4" s="41">
        <f>IF(AND($D$6="ROOF LEVEL"),'D5'!F3,IF(AND($D$6="SAYANEH"),'D5'!F7,IF(AND($D$6="PAVLION"),'D5'!F11,0)))</f>
        <v>0.67301718782356601</v>
      </c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</row>
    <row r="5" spans="1:29" ht="25.15" customHeight="1" x14ac:dyDescent="0.25">
      <c r="A5" s="25"/>
      <c r="B5" s="16"/>
      <c r="C5" s="118" t="s">
        <v>24</v>
      </c>
      <c r="D5" s="111">
        <f>Invoice!E16</f>
        <v>0</v>
      </c>
      <c r="E5" s="189"/>
      <c r="F5" s="189"/>
      <c r="G5" s="15"/>
      <c r="H5" s="11"/>
      <c r="I5" s="41">
        <f t="shared" si="0"/>
        <v>3.8090184303168358E-2</v>
      </c>
      <c r="J5" s="25" t="s">
        <v>80</v>
      </c>
      <c r="K5" s="41">
        <f>IF(AND($D$6="ROOF LEVEL"),'D5'!F4,IF(AND($D$6="SAYANEH"),'D5'!F8,IF(AND($D$6="PAVLION"),'D5'!F12,0)))</f>
        <v>3.8090184303168358E-2</v>
      </c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  <c r="AB5" s="11"/>
      <c r="AC5" s="11"/>
    </row>
    <row r="6" spans="1:29" ht="25.15" customHeight="1" x14ac:dyDescent="0.25">
      <c r="A6" s="25"/>
      <c r="B6" s="16"/>
      <c r="C6" s="118" t="s">
        <v>215</v>
      </c>
      <c r="D6" s="112" t="str">
        <f>Invoice!F16</f>
        <v>Roof Level</v>
      </c>
      <c r="E6" s="189"/>
      <c r="F6" s="189"/>
      <c r="G6" s="15"/>
      <c r="H6" s="11"/>
      <c r="I6" s="41">
        <f t="shared" si="0"/>
        <v>0.27767567474287291</v>
      </c>
      <c r="J6" s="25" t="s">
        <v>81</v>
      </c>
      <c r="K6" s="41">
        <f>IF(AND($D$6="ROOF LEVEL"),'D5'!F5,IF(AND($D$6="SAYANEH"),'D5'!F9,IF(AND($D$6="PAVLION"),'D5'!F13,0)))</f>
        <v>0.27767567474287291</v>
      </c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  <c r="AB6" s="11"/>
      <c r="AC6" s="11"/>
    </row>
    <row r="7" spans="1:29" ht="25.15" customHeight="1" x14ac:dyDescent="0.25">
      <c r="A7" s="25"/>
      <c r="B7" s="16"/>
      <c r="C7" s="118" t="s">
        <v>213</v>
      </c>
      <c r="D7" s="160" t="str">
        <f>Invoice!G16</f>
        <v>متحرک</v>
      </c>
      <c r="E7" s="117" t="s">
        <v>83</v>
      </c>
      <c r="F7" s="114">
        <f>D3*D4*D5</f>
        <v>0</v>
      </c>
      <c r="G7" s="15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  <c r="AB7" s="11"/>
      <c r="AC7" s="11"/>
    </row>
    <row r="8" spans="1:29" ht="25.15" customHeight="1" x14ac:dyDescent="0.25">
      <c r="A8" s="25"/>
      <c r="B8" s="16"/>
      <c r="C8" s="118" t="s">
        <v>19</v>
      </c>
      <c r="D8" s="113" t="str">
        <f>Invoice!G18</f>
        <v xml:space="preserve">120Nm بکر آلمان </v>
      </c>
      <c r="E8" s="117" t="s">
        <v>20</v>
      </c>
      <c r="F8" s="115" t="e">
        <f>FLOOR(F9/F7,100000)</f>
        <v>#DIV/0!</v>
      </c>
      <c r="G8" s="15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</row>
    <row r="9" spans="1:29" ht="25.15" customHeight="1" x14ac:dyDescent="0.25">
      <c r="A9" s="25"/>
      <c r="B9" s="12"/>
      <c r="C9" s="118" t="s">
        <v>84</v>
      </c>
      <c r="D9" s="113" t="str">
        <f>Invoice!H12</f>
        <v>روشنایی لبه آبراه(خطی LED)</v>
      </c>
      <c r="E9" s="117" t="s">
        <v>22</v>
      </c>
      <c r="F9" s="115">
        <f>IF(AND(D6="ROOF LEVEL",D7="متحرک"),('D5'!J15),IF(AND(D6="SAYANEH",D7="متحرک"),('D5'!J16),IF(AND(D6="PAVLION",D7="متحرک"),('D5'!J17),IF(AND(D6="ROOF LEVEL",D7="ثابت"),('D5'!J19),IF(AND(D6="SAYANEH",D7="ثابت"),('D5'!J20),IF(AND(D6="PAVLION",D7="ثابت"),('D5'!J21),0))))))</f>
        <v>0</v>
      </c>
      <c r="G9" s="15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  <c r="AB9" s="11"/>
      <c r="AC9" s="11"/>
    </row>
    <row r="10" spans="1:29" ht="16.149999999999999" hidden="1" customHeight="1" x14ac:dyDescent="0.25">
      <c r="A10" s="25"/>
      <c r="B10" s="16"/>
      <c r="C10" s="107" t="s">
        <v>21</v>
      </c>
      <c r="D10" s="108">
        <f>Invoice!C18</f>
        <v>700000</v>
      </c>
      <c r="E10" s="119" t="s">
        <v>33</v>
      </c>
      <c r="F10" s="116" t="str">
        <f>IF(AND(D4&gt;2,D4&lt;=3),0,IF(AND(D4&gt;3,D4&lt;=8),1,"0"))</f>
        <v>0</v>
      </c>
      <c r="G10" s="15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  <c r="AB10" s="11"/>
      <c r="AC10" s="11"/>
    </row>
    <row r="11" spans="1:29" ht="16.149999999999999" hidden="1" customHeight="1" thickBot="1" x14ac:dyDescent="0.3">
      <c r="A11" s="25"/>
      <c r="B11" s="16"/>
      <c r="C11" s="45" t="s">
        <v>34</v>
      </c>
      <c r="D11" s="43">
        <f>Invoice!C17</f>
        <v>2200000</v>
      </c>
      <c r="E11" s="17" t="s">
        <v>15</v>
      </c>
      <c r="F11" s="109">
        <v>35</v>
      </c>
      <c r="G11" s="15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</row>
    <row r="12" spans="1:29" ht="16.149999999999999" hidden="1" customHeight="1" thickBot="1" x14ac:dyDescent="0.3">
      <c r="A12" s="25"/>
      <c r="B12" s="16"/>
      <c r="C12" s="44" t="s">
        <v>37</v>
      </c>
      <c r="D12" s="43">
        <f>Invoice!C19</f>
        <v>450000</v>
      </c>
      <c r="E12" s="19" t="s">
        <v>17</v>
      </c>
      <c r="F12" s="18">
        <v>50</v>
      </c>
      <c r="G12" s="15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</row>
    <row r="13" spans="1:29" ht="19.899999999999999" customHeight="1" x14ac:dyDescent="0.25">
      <c r="A13" s="25"/>
      <c r="B13" s="16"/>
      <c r="C13" s="16"/>
      <c r="D13" s="16"/>
      <c r="E13" s="16"/>
      <c r="F13" s="16"/>
      <c r="G13" s="16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</row>
    <row r="14" spans="1:29" x14ac:dyDescent="0.25">
      <c r="A14" s="25"/>
      <c r="B14" s="25"/>
      <c r="C14" s="26"/>
      <c r="D14" s="27"/>
      <c r="E14" s="28"/>
      <c r="F14" s="11"/>
      <c r="G14" s="29"/>
      <c r="H14" s="190">
        <f>FLOOR((IF(AND($D$6="ROOF LEVEL"),'D5'!D2,IF(AND($D$6="SAYANEH"),'D5'!D6,IF(AND($D$6="PAVLION"),'D5'!D10,0)))),1000000)/10000000</f>
        <v>0.6</v>
      </c>
      <c r="I14" s="190"/>
      <c r="J14" s="190"/>
      <c r="K14" s="190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  <c r="AB14" s="11"/>
      <c r="AC14" s="11"/>
    </row>
    <row r="15" spans="1:29" x14ac:dyDescent="0.25">
      <c r="A15" s="25"/>
      <c r="B15" s="25"/>
      <c r="C15" s="26"/>
      <c r="D15" s="27"/>
      <c r="E15" s="27"/>
      <c r="F15" s="27"/>
      <c r="G15" s="27"/>
      <c r="H15" s="27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11"/>
    </row>
    <row r="16" spans="1:29" x14ac:dyDescent="0.25">
      <c r="A16" s="25"/>
      <c r="B16" s="25"/>
      <c r="C16" s="25"/>
      <c r="D16" s="25"/>
      <c r="E16" s="25"/>
      <c r="F16" s="25"/>
      <c r="G16" s="25"/>
      <c r="H16" s="25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</row>
    <row r="17" spans="1:29" x14ac:dyDescent="0.25">
      <c r="A17" s="25"/>
      <c r="B17" s="25"/>
      <c r="C17" s="25"/>
      <c r="D17" s="25"/>
      <c r="E17" s="25"/>
      <c r="F17" s="25"/>
      <c r="G17" s="25"/>
      <c r="H17" s="25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</row>
    <row r="18" spans="1:29" x14ac:dyDescent="0.25">
      <c r="A18" s="25"/>
      <c r="B18" s="30"/>
      <c r="C18" s="30"/>
      <c r="D18" s="30"/>
      <c r="E18" s="11"/>
      <c r="F18" s="11"/>
      <c r="G18" s="28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</row>
    <row r="19" spans="1:29" x14ac:dyDescent="0.25">
      <c r="A19" s="25"/>
      <c r="B19" s="30"/>
      <c r="C19" s="30"/>
      <c r="D19" s="30"/>
      <c r="E19" s="11"/>
      <c r="F19" s="11"/>
      <c r="G19" s="28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1"/>
    </row>
    <row r="20" spans="1:29" x14ac:dyDescent="0.25">
      <c r="A20" s="25"/>
      <c r="B20" s="11"/>
      <c r="C20" s="11"/>
      <c r="D20" s="31"/>
      <c r="E20" s="11"/>
      <c r="F20" s="32"/>
      <c r="G20" s="32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1"/>
      <c r="AC20" s="11"/>
    </row>
    <row r="21" spans="1:29" x14ac:dyDescent="0.25">
      <c r="A21" s="25"/>
      <c r="B21" s="11"/>
      <c r="C21" s="11"/>
      <c r="D21" s="31"/>
      <c r="E21" s="11"/>
      <c r="F21" s="32"/>
      <c r="G21" s="32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</row>
    <row r="22" spans="1:29" x14ac:dyDescent="0.25">
      <c r="A22" s="25"/>
      <c r="B22" s="11"/>
      <c r="C22" s="11"/>
      <c r="D22" s="31"/>
      <c r="E22" s="11"/>
      <c r="F22" s="32"/>
      <c r="G22" s="32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  <c r="AB22" s="11"/>
      <c r="AC22" s="11"/>
    </row>
    <row r="23" spans="1:29" x14ac:dyDescent="0.25">
      <c r="A23" s="25"/>
      <c r="B23" s="11"/>
      <c r="C23" s="11"/>
      <c r="D23" s="31"/>
      <c r="E23" s="11"/>
      <c r="F23" s="32"/>
      <c r="G23" s="33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</row>
    <row r="24" spans="1:29" x14ac:dyDescent="0.25">
      <c r="A24" s="25"/>
      <c r="B24" s="11"/>
      <c r="C24" s="11"/>
      <c r="D24" s="31"/>
      <c r="E24" s="11"/>
      <c r="F24" s="32"/>
      <c r="G24" s="33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</row>
    <row r="25" spans="1:29" x14ac:dyDescent="0.25">
      <c r="A25" s="25"/>
      <c r="B25" s="11"/>
      <c r="C25" s="11"/>
      <c r="D25" s="31"/>
      <c r="E25" s="11"/>
      <c r="F25" s="32"/>
      <c r="G25" s="33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</row>
    <row r="26" spans="1:29" x14ac:dyDescent="0.25">
      <c r="A26" s="25"/>
      <c r="B26" s="11"/>
      <c r="C26" s="11"/>
      <c r="D26" s="31"/>
      <c r="E26" s="11"/>
      <c r="F26" s="32"/>
      <c r="G26" s="33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  <c r="AB26" s="11"/>
      <c r="AC26" s="11"/>
    </row>
    <row r="27" spans="1:29" x14ac:dyDescent="0.25">
      <c r="A27" s="25"/>
      <c r="B27" s="11"/>
      <c r="C27" s="11"/>
      <c r="D27" s="31"/>
      <c r="E27" s="11"/>
      <c r="F27" s="32"/>
      <c r="G27" s="33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</row>
    <row r="28" spans="1:29" x14ac:dyDescent="0.25">
      <c r="A28" s="25"/>
      <c r="B28" s="30"/>
      <c r="C28" s="11"/>
      <c r="D28" s="31"/>
      <c r="E28" s="11"/>
      <c r="F28" s="32"/>
      <c r="G28" s="33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  <c r="AB28" s="11"/>
      <c r="AC28" s="11"/>
    </row>
    <row r="29" spans="1:29" x14ac:dyDescent="0.25">
      <c r="A29" s="25"/>
      <c r="B29" s="11"/>
      <c r="C29" s="11"/>
      <c r="D29" s="31"/>
      <c r="E29" s="11"/>
      <c r="F29" s="32"/>
      <c r="G29" s="33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</row>
    <row r="30" spans="1:29" x14ac:dyDescent="0.25">
      <c r="A30" s="25"/>
      <c r="B30" s="11"/>
      <c r="C30" s="11"/>
      <c r="D30" s="31"/>
      <c r="E30" s="11"/>
      <c r="F30" s="32"/>
      <c r="G30" s="33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</row>
    <row r="31" spans="1:29" x14ac:dyDescent="0.25">
      <c r="A31" s="25"/>
      <c r="B31" s="11"/>
      <c r="C31" s="11"/>
      <c r="D31" s="31"/>
      <c r="E31" s="28"/>
      <c r="F31" s="32"/>
      <c r="G31" s="33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</row>
    <row r="32" spans="1:29" x14ac:dyDescent="0.25">
      <c r="A32" s="25"/>
      <c r="B32" s="11"/>
      <c r="C32" s="11"/>
      <c r="D32" s="31"/>
      <c r="E32" s="28"/>
      <c r="F32" s="32"/>
      <c r="G32" s="33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</row>
    <row r="33" spans="1:29" x14ac:dyDescent="0.25">
      <c r="A33" s="25"/>
      <c r="B33" s="11"/>
      <c r="C33" s="11"/>
      <c r="D33" s="31"/>
      <c r="E33" s="28"/>
      <c r="F33" s="28"/>
      <c r="G33" s="28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</row>
    <row r="34" spans="1:29" x14ac:dyDescent="0.25">
      <c r="A34" s="25"/>
      <c r="B34" s="11"/>
      <c r="C34" s="11"/>
      <c r="D34" s="31"/>
      <c r="E34" s="28"/>
      <c r="F34" s="28"/>
      <c r="G34" s="28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</row>
    <row r="35" spans="1:29" x14ac:dyDescent="0.25">
      <c r="A35" s="25"/>
      <c r="B35" s="11"/>
      <c r="C35" s="11"/>
      <c r="D35" s="31"/>
      <c r="E35" s="28"/>
      <c r="F35" s="28"/>
      <c r="G35" s="28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</row>
    <row r="36" spans="1:29" x14ac:dyDescent="0.25">
      <c r="A36" s="25"/>
      <c r="B36" s="11"/>
      <c r="C36" s="11"/>
      <c r="D36" s="31"/>
      <c r="E36" s="28"/>
      <c r="F36" s="28"/>
      <c r="G36" s="28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</row>
    <row r="37" spans="1:29" x14ac:dyDescent="0.25">
      <c r="A37" s="25"/>
      <c r="B37" s="11"/>
      <c r="C37" s="11"/>
      <c r="D37" s="31"/>
      <c r="E37" s="28"/>
      <c r="F37" s="28"/>
      <c r="G37" s="28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</row>
    <row r="38" spans="1:29" x14ac:dyDescent="0.25">
      <c r="A38" s="25"/>
      <c r="B38" s="11"/>
      <c r="C38" s="11"/>
      <c r="D38" s="31"/>
      <c r="E38" s="28"/>
      <c r="F38" s="28"/>
      <c r="G38" s="28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</row>
    <row r="39" spans="1:29" x14ac:dyDescent="0.25">
      <c r="A39" s="25"/>
      <c r="B39" s="11"/>
      <c r="C39" s="11"/>
      <c r="D39" s="31"/>
      <c r="E39" s="28"/>
      <c r="F39" s="28"/>
      <c r="G39" s="28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</row>
    <row r="40" spans="1:29" x14ac:dyDescent="0.25">
      <c r="A40" s="25"/>
      <c r="B40" s="11"/>
      <c r="C40" s="11"/>
      <c r="D40" s="34"/>
      <c r="E40" s="28"/>
      <c r="F40" s="11"/>
      <c r="G40" s="28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</row>
    <row r="41" spans="1:29" x14ac:dyDescent="0.25">
      <c r="A41" s="25"/>
      <c r="B41" s="11"/>
      <c r="C41" s="11"/>
      <c r="D41" s="34"/>
      <c r="E41" s="28"/>
      <c r="F41" s="11"/>
      <c r="G41" s="28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</row>
    <row r="42" spans="1:29" x14ac:dyDescent="0.25">
      <c r="A42" s="25"/>
      <c r="B42" s="11"/>
      <c r="C42" s="11"/>
      <c r="D42" s="46" t="s">
        <v>88</v>
      </c>
      <c r="E42" s="28"/>
      <c r="F42" s="11"/>
      <c r="G42" s="28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</row>
    <row r="43" spans="1:29" x14ac:dyDescent="0.25">
      <c r="A43" s="25"/>
      <c r="B43" s="11"/>
      <c r="C43" s="42" t="s">
        <v>13</v>
      </c>
      <c r="D43" s="34" t="s">
        <v>85</v>
      </c>
      <c r="E43" s="34" t="s">
        <v>89</v>
      </c>
      <c r="F43" s="11"/>
      <c r="G43" s="28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</row>
    <row r="44" spans="1:29" x14ac:dyDescent="0.25">
      <c r="A44" s="25"/>
      <c r="B44" s="11"/>
      <c r="C44" s="42" t="s">
        <v>14</v>
      </c>
      <c r="D44" s="34" t="s">
        <v>86</v>
      </c>
      <c r="E44" s="34" t="s">
        <v>90</v>
      </c>
      <c r="F44" s="11"/>
      <c r="G44" s="28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</row>
    <row r="45" spans="1:29" x14ac:dyDescent="0.25">
      <c r="A45" s="25"/>
      <c r="B45" s="11"/>
      <c r="C45" s="42" t="s">
        <v>25</v>
      </c>
      <c r="D45" s="34" t="s">
        <v>87</v>
      </c>
      <c r="E45" s="28"/>
      <c r="F45" s="11"/>
      <c r="G45" s="28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</row>
    <row r="46" spans="1:29" x14ac:dyDescent="0.25">
      <c r="A46" s="25"/>
      <c r="B46" s="11"/>
      <c r="C46" s="11"/>
      <c r="D46" s="34"/>
      <c r="E46" s="28"/>
      <c r="F46" s="11"/>
      <c r="G46" s="28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</row>
    <row r="47" spans="1:29" x14ac:dyDescent="0.25">
      <c r="A47" s="25"/>
      <c r="B47" s="11"/>
      <c r="C47" s="11"/>
      <c r="D47" s="34"/>
      <c r="E47" s="28"/>
      <c r="F47" s="11"/>
      <c r="G47" s="28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</row>
    <row r="48" spans="1:29" x14ac:dyDescent="0.25">
      <c r="A48" s="25"/>
      <c r="B48" s="11"/>
      <c r="C48" s="11"/>
      <c r="D48" s="34"/>
      <c r="E48" s="28"/>
      <c r="F48" s="11"/>
      <c r="G48" s="28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</row>
    <row r="49" spans="1:29" x14ac:dyDescent="0.25">
      <c r="A49" s="25"/>
      <c r="B49" s="11"/>
      <c r="C49" s="11"/>
      <c r="D49" s="34"/>
      <c r="E49" s="28"/>
      <c r="F49" s="11"/>
      <c r="G49" s="28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</row>
  </sheetData>
  <mergeCells count="2">
    <mergeCell ref="E3:F6"/>
    <mergeCell ref="H14:K14"/>
  </mergeCells>
  <conditionalFormatting sqref="E3">
    <cfRule type="cellIs" dxfId="4" priority="1" operator="equal">
      <formula>"NOT IN RANGE"</formula>
    </cfRule>
    <cfRule type="cellIs" dxfId="3" priority="2" operator="equal">
      <formula>"CORRECT RANGE"</formula>
    </cfRule>
  </conditionalFormatting>
  <pageMargins left="0.7" right="0.7" top="0.75" bottom="0.75" header="0.3" footer="0.3"/>
  <pageSetup paperSize="8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11</vt:i4>
      </vt:variant>
      <vt:variant>
        <vt:lpstr>Named Ranges</vt:lpstr>
      </vt:variant>
      <vt:variant>
        <vt:i4>6</vt:i4>
      </vt:variant>
    </vt:vector>
  </HeadingPairs>
  <TitlesOfParts>
    <vt:vector size="17" baseType="lpstr">
      <vt:lpstr>S1</vt:lpstr>
      <vt:lpstr>D1</vt:lpstr>
      <vt:lpstr>S2</vt:lpstr>
      <vt:lpstr>D2</vt:lpstr>
      <vt:lpstr>S3</vt:lpstr>
      <vt:lpstr>D3</vt:lpstr>
      <vt:lpstr>S4</vt:lpstr>
      <vt:lpstr>D4</vt:lpstr>
      <vt:lpstr>S5</vt:lpstr>
      <vt:lpstr>D5</vt:lpstr>
      <vt:lpstr>Invoice</vt:lpstr>
      <vt:lpstr>Invoice!Print_Area</vt:lpstr>
      <vt:lpstr>'S1'!Print_Area</vt:lpstr>
      <vt:lpstr>'S2'!Print_Area</vt:lpstr>
      <vt:lpstr>'S3'!Print_Area</vt:lpstr>
      <vt:lpstr>'S4'!Print_Area</vt:lpstr>
      <vt:lpstr>'S5'!Print_Area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zenbook frlip3</dc:creator>
  <cp:lastModifiedBy>Amin</cp:lastModifiedBy>
  <cp:lastPrinted>2024-05-29T10:29:46Z</cp:lastPrinted>
  <dcterms:created xsi:type="dcterms:W3CDTF">2024-04-24T07:27:47Z</dcterms:created>
  <dcterms:modified xsi:type="dcterms:W3CDTF">2024-08-03T09:13:18Z</dcterms:modified>
</cp:coreProperties>
</file>